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ingrid.santos\Downloads\"/>
    </mc:Choice>
  </mc:AlternateContent>
  <xr:revisionPtr revIDLastSave="0" documentId="13_ncr:1_{69B7134F-4916-4A05-BFC7-6E15B47D6C0D}" xr6:coauthVersionLast="47" xr6:coauthVersionMax="47" xr10:uidLastSave="{00000000-0000-0000-0000-000000000000}"/>
  <bookViews>
    <workbookView showSheetTabs="0" xWindow="28680" yWindow="-120" windowWidth="29040" windowHeight="15720" tabRatio="737" xr2:uid="{C2F4F8F2-F345-4E05-9E9E-985759A81914}"/>
  </bookViews>
  <sheets>
    <sheet name="Sumário" sheetId="33" r:id="rId1"/>
    <sheet name="Balanço Patrimonial" sheetId="53" r:id="rId2"/>
    <sheet name="DRE (resumida)" sheetId="54" r:id="rId3"/>
    <sheet name="DRE (detalhada)" sheetId="55" r:id="rId4"/>
    <sheet name="Fluxo de Caixa" sheetId="56" r:id="rId5"/>
    <sheet name="Imob e Intang" sheetId="60" r:id="rId6"/>
    <sheet name="Realização" sheetId="49" r:id="rId7"/>
    <sheet name="Lifting Cost" sheetId="40" r:id="rId8"/>
    <sheet name="Referências de Preço Petróleo" sheetId="10" r:id="rId9"/>
    <sheet name="Impostos" sheetId="59" r:id="rId10"/>
    <sheet name="QDC  Gás " sheetId="28" r:id="rId11"/>
    <sheet name="Tabela de Conversão" sheetId="44" r:id="rId12"/>
    <sheet name="Hedge" sheetId="51" r:id="rId13"/>
    <sheet name="Produção WI" sheetId="18" r:id="rId14"/>
    <sheet name="Certificação de Reservas" sheetId="20" r:id="rId15"/>
    <sheet name="Receita" sheetId="52" r:id="rId16"/>
    <sheet name="Custos" sheetId="23" r:id="rId17"/>
    <sheet name="Capex" sheetId="29" r:id="rId18"/>
  </sheets>
  <definedNames>
    <definedName name="_1T">#REF!</definedName>
    <definedName name="_xlnm.Print_Area" localSheetId="7">'Lifting Cost'!$A$2:$E$24</definedName>
    <definedName name="_xlnm.Print_Area" localSheetId="0">Sumário!$A$1:$H$29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C25" i="18" l="1"/>
  <c r="EC26" i="18" s="1"/>
  <c r="EC24" i="18"/>
  <c r="EB25" i="18"/>
  <c r="EB26" i="18" s="1"/>
  <c r="EB24" i="18"/>
  <c r="EB10" i="18"/>
  <c r="EB14" i="18"/>
  <c r="EB18" i="18"/>
  <c r="EB22" i="18"/>
  <c r="AT55" i="55" l="1"/>
  <c r="AR54" i="55"/>
  <c r="AM55" i="55"/>
  <c r="AO55" i="55" s="1"/>
  <c r="AQ55" i="55" s="1"/>
  <c r="AF58" i="55"/>
  <c r="AH58" i="55" s="1"/>
  <c r="AT58" i="55"/>
  <c r="AR57" i="55"/>
  <c r="AP58" i="55"/>
  <c r="AM58" i="55"/>
  <c r="AJ58" i="55" l="1"/>
  <c r="AO58" i="55"/>
  <c r="EA25" i="18"/>
  <c r="DZ25" i="18"/>
  <c r="DY25" i="18"/>
  <c r="DY26" i="18" s="1"/>
  <c r="EA24" i="18"/>
  <c r="DZ24" i="18"/>
  <c r="DY24" i="18"/>
  <c r="EA22" i="18"/>
  <c r="DZ22" i="18"/>
  <c r="DY22" i="18"/>
  <c r="EA18" i="18"/>
  <c r="DZ18" i="18"/>
  <c r="DY18" i="18"/>
  <c r="EA14" i="18"/>
  <c r="DZ14" i="18"/>
  <c r="DY14" i="18"/>
  <c r="EA10" i="18"/>
  <c r="DZ10" i="18"/>
  <c r="DY10" i="18"/>
  <c r="DZ26" i="18" l="1"/>
  <c r="EA26" i="18"/>
  <c r="AQ58" i="55"/>
  <c r="H36" i="51"/>
  <c r="G36" i="51"/>
  <c r="BI12" i="49" l="1"/>
  <c r="AT70" i="56"/>
  <c r="AT21" i="56"/>
  <c r="C36" i="60" l="1"/>
  <c r="C35" i="60"/>
  <c r="W34" i="60"/>
  <c r="C34" i="60"/>
  <c r="W33" i="60"/>
  <c r="BA27" i="60"/>
  <c r="AY27" i="60"/>
  <c r="AW27" i="60"/>
  <c r="AU27" i="60"/>
  <c r="AP27" i="60"/>
  <c r="AS27" i="60" s="1"/>
  <c r="R27" i="60"/>
  <c r="N27" i="60"/>
  <c r="M27" i="60"/>
  <c r="BC26" i="60"/>
  <c r="AS26" i="60"/>
  <c r="BC25" i="60"/>
  <c r="AS25" i="60"/>
  <c r="W25" i="60"/>
  <c r="BC24" i="60"/>
  <c r="AS24" i="60"/>
  <c r="S22" i="60"/>
  <c r="D26" i="60" s="1"/>
  <c r="D18" i="60" s="1"/>
  <c r="Q22" i="60"/>
  <c r="BA19" i="60"/>
  <c r="AU19" i="60"/>
  <c r="AP19" i="60"/>
  <c r="AL19" i="60"/>
  <c r="AJ19" i="60"/>
  <c r="AU17" i="60"/>
  <c r="AP17" i="60"/>
  <c r="AJ17" i="60"/>
  <c r="AU16" i="60"/>
  <c r="AP16" i="60"/>
  <c r="AJ16" i="60"/>
  <c r="U16" i="60"/>
  <c r="R16" i="60"/>
  <c r="P16" i="60"/>
  <c r="N16" i="60"/>
  <c r="M16" i="60"/>
  <c r="AU15" i="60"/>
  <c r="AP15" i="60"/>
  <c r="AP18" i="60" s="1"/>
  <c r="AP20" i="60" s="1"/>
  <c r="AJ15" i="60"/>
  <c r="W13" i="60"/>
  <c r="D24" i="60"/>
  <c r="D16" i="60" s="1"/>
  <c r="F24" i="60"/>
  <c r="F16" i="60" s="1"/>
  <c r="C24" i="60"/>
  <c r="AP11" i="60"/>
  <c r="BK10" i="60"/>
  <c r="BG10" i="60"/>
  <c r="BC10" i="60"/>
  <c r="BA17" i="60" s="1"/>
  <c r="AN10" i="60"/>
  <c r="AS10" i="60" s="1"/>
  <c r="AW10" i="60" s="1"/>
  <c r="AL17" i="60" s="1"/>
  <c r="D25" i="60"/>
  <c r="D17" i="60" s="1"/>
  <c r="F25" i="60"/>
  <c r="F17" i="60" s="1"/>
  <c r="C25" i="60"/>
  <c r="BK9" i="60"/>
  <c r="BG9" i="60"/>
  <c r="BC9" i="60"/>
  <c r="AN9" i="60"/>
  <c r="AS9" i="60" s="1"/>
  <c r="D23" i="60"/>
  <c r="D15" i="60" s="1"/>
  <c r="F23" i="60"/>
  <c r="F15" i="60" s="1"/>
  <c r="C23" i="60"/>
  <c r="C15" i="60" s="1"/>
  <c r="E15" i="60" s="1"/>
  <c r="BK8" i="60"/>
  <c r="BG8" i="60"/>
  <c r="BC8" i="60"/>
  <c r="BA16" i="60" s="1"/>
  <c r="AN8" i="60"/>
  <c r="AS8" i="60" s="1"/>
  <c r="AW8" i="60" s="1"/>
  <c r="AL16" i="60" s="1"/>
  <c r="BK7" i="60"/>
  <c r="BG7" i="60"/>
  <c r="BC7" i="60"/>
  <c r="BA15" i="60" s="1"/>
  <c r="AN7" i="60"/>
  <c r="AS7" i="60" s="1"/>
  <c r="Q6" i="60"/>
  <c r="F26" i="60" s="1"/>
  <c r="F18" i="60" s="1"/>
  <c r="C26" i="60"/>
  <c r="AS70" i="56"/>
  <c r="W14" i="60" l="1"/>
  <c r="M37" i="60"/>
  <c r="BC17" i="60" a="1"/>
  <c r="W23" i="60"/>
  <c r="W24" i="60"/>
  <c r="Q27" i="60"/>
  <c r="W26" i="60"/>
  <c r="W11" i="60"/>
  <c r="C38" i="60"/>
  <c r="W10" i="60"/>
  <c r="S16" i="60"/>
  <c r="D28" i="60" s="1"/>
  <c r="W8" i="60"/>
  <c r="AU18" i="60"/>
  <c r="BA18" i="60"/>
  <c r="W12" i="60"/>
  <c r="W35" i="60"/>
  <c r="BK11" i="60"/>
  <c r="O16" i="60"/>
  <c r="C28" i="60" s="1"/>
  <c r="BC27" i="60"/>
  <c r="BC11" i="60"/>
  <c r="W32" i="60"/>
  <c r="X32" i="60" s="1"/>
  <c r="BG11" i="60"/>
  <c r="E25" i="60"/>
  <c r="G25" i="60" s="1"/>
  <c r="C17" i="60"/>
  <c r="E17" i="60" s="1"/>
  <c r="G17" i="60" s="1"/>
  <c r="AU20" i="60"/>
  <c r="G15" i="60"/>
  <c r="BA20" i="60"/>
  <c r="BC18" i="60" a="1"/>
  <c r="AN11" i="60"/>
  <c r="BC15" i="60" a="1"/>
  <c r="C16" i="60"/>
  <c r="E16" i="60" s="1"/>
  <c r="G16" i="60" s="1"/>
  <c r="E24" i="60"/>
  <c r="G24" i="60" s="1"/>
  <c r="BQ8" i="60" s="1"/>
  <c r="W21" i="60"/>
  <c r="O27" i="60"/>
  <c r="O37" i="60" s="1"/>
  <c r="W6" i="60"/>
  <c r="W9" i="60"/>
  <c r="Q16" i="60"/>
  <c r="S27" i="60"/>
  <c r="AJ20" i="60"/>
  <c r="W22" i="60"/>
  <c r="W7" i="60"/>
  <c r="BC16" i="60" a="1"/>
  <c r="E26" i="60"/>
  <c r="G26" i="60" s="1"/>
  <c r="BQ9" i="60" s="1"/>
  <c r="C18" i="60"/>
  <c r="E18" i="60" s="1"/>
  <c r="G18" i="60" s="1"/>
  <c r="AW7" i="60"/>
  <c r="AS11" i="60"/>
  <c r="E23" i="60"/>
  <c r="W5" i="60"/>
  <c r="S37" i="60" l="1"/>
  <c r="BC20" i="60" a="1"/>
  <c r="F28" i="60"/>
  <c r="Q37" i="60"/>
  <c r="AL15" i="60"/>
  <c r="AL18" i="60" s="1"/>
  <c r="AL20" i="60" s="1"/>
  <c r="AW11" i="60"/>
  <c r="W16" i="60"/>
  <c r="AY19" i="60"/>
  <c r="BC19" i="60" s="1" a="1"/>
  <c r="BO9" i="60"/>
  <c r="AN19" i="60" s="1"/>
  <c r="G23" i="60"/>
  <c r="W27" i="60"/>
  <c r="AY16" i="60"/>
  <c r="BO8" i="60"/>
  <c r="AN16" i="60" s="1"/>
  <c r="D20" i="60"/>
  <c r="D27" i="60"/>
  <c r="D19" i="60" s="1"/>
  <c r="C27" i="60"/>
  <c r="C20" i="60"/>
  <c r="BQ7" i="60" l="1"/>
  <c r="AS19" i="60" a="1"/>
  <c r="AW19" i="60" a="1"/>
  <c r="C19" i="60"/>
  <c r="E19" i="60" s="1"/>
  <c r="E27" i="60"/>
  <c r="X16" i="60"/>
  <c r="W37" i="60"/>
  <c r="F20" i="60"/>
  <c r="F27" i="60"/>
  <c r="F19" i="60" s="1"/>
  <c r="AW16" i="60" a="1"/>
  <c r="AS16" i="60" a="1"/>
  <c r="G27" i="60" l="1"/>
  <c r="E28" i="60"/>
  <c r="G19" i="60"/>
  <c r="G20" i="60" s="1"/>
  <c r="E20" i="60"/>
  <c r="AY15" i="60"/>
  <c r="BO7" i="60"/>
  <c r="AN15" i="60" l="1"/>
  <c r="BQ10" i="60"/>
  <c r="G28" i="60"/>
  <c r="Z73" i="56"/>
  <c r="AN73" i="56"/>
  <c r="AO73" i="56"/>
  <c r="AM73" i="56"/>
  <c r="AK73" i="56"/>
  <c r="AJ73" i="56"/>
  <c r="AI73" i="56"/>
  <c r="AH73" i="56"/>
  <c r="AG73" i="56"/>
  <c r="AF73" i="56"/>
  <c r="AE73" i="56"/>
  <c r="AD73" i="56"/>
  <c r="AC73" i="56"/>
  <c r="AB73" i="56"/>
  <c r="AA73" i="56"/>
  <c r="Y73" i="56"/>
  <c r="X73" i="56"/>
  <c r="W73" i="56"/>
  <c r="V73" i="56"/>
  <c r="U73" i="56"/>
  <c r="T73" i="56"/>
  <c r="S73" i="56"/>
  <c r="R73" i="56"/>
  <c r="Q73" i="56"/>
  <c r="P73" i="56"/>
  <c r="O73" i="56"/>
  <c r="N73" i="56"/>
  <c r="M73" i="56"/>
  <c r="L73" i="56"/>
  <c r="K73" i="56"/>
  <c r="J73" i="56"/>
  <c r="I73" i="56"/>
  <c r="H73" i="56"/>
  <c r="G73" i="56"/>
  <c r="F73" i="56"/>
  <c r="AY17" i="60" l="1"/>
  <c r="AY18" i="60" s="1"/>
  <c r="AY20" i="60" s="1"/>
  <c r="BO10" i="60"/>
  <c r="BQ11" i="60"/>
  <c r="AS15" i="60" a="1"/>
  <c r="AW15" i="60" a="1"/>
  <c r="AL73" i="56"/>
  <c r="AQ73" i="56"/>
  <c r="AP73" i="56"/>
  <c r="AN17" i="60" l="1"/>
  <c r="BO11" i="60"/>
  <c r="AW17" i="60" l="1" a="1"/>
  <c r="AS17" i="60" a="1"/>
  <c r="AN18" i="60"/>
  <c r="M88" i="53"/>
  <c r="L88" i="53"/>
  <c r="K88" i="53"/>
  <c r="J88" i="53"/>
  <c r="I88" i="53"/>
  <c r="H88" i="53"/>
  <c r="G88" i="53"/>
  <c r="F88" i="53"/>
  <c r="E88" i="53"/>
  <c r="Q13" i="49"/>
  <c r="AN20" i="60" l="1"/>
  <c r="AS18" i="60" a="1"/>
  <c r="AW18" i="60" a="1"/>
  <c r="AS13" i="49"/>
  <c r="AS20" i="60" l="1" a="1"/>
  <c r="AW20" i="60" a="1"/>
  <c r="DX25" i="18" l="1"/>
  <c r="DX24" i="18"/>
  <c r="DX22" i="18"/>
  <c r="DX18" i="18"/>
  <c r="DX14" i="18"/>
  <c r="DX10" i="18"/>
  <c r="DX26" i="18" l="1"/>
  <c r="L43" i="29"/>
  <c r="K43" i="29"/>
  <c r="M43" i="29"/>
  <c r="L42" i="29"/>
  <c r="K42" i="29"/>
  <c r="H45" i="29"/>
  <c r="G45" i="29"/>
  <c r="D45" i="29"/>
  <c r="C45" i="29"/>
  <c r="L22" i="29"/>
  <c r="K22" i="29"/>
  <c r="M22" i="29"/>
  <c r="L21" i="29"/>
  <c r="K21" i="29"/>
  <c r="L20" i="29"/>
  <c r="H24" i="29"/>
  <c r="G24" i="29"/>
  <c r="K20" i="29" s="1"/>
  <c r="D24" i="29"/>
  <c r="C24" i="29"/>
  <c r="I45" i="29" l="1"/>
  <c r="E45" i="29"/>
  <c r="M42" i="29"/>
  <c r="E24" i="29"/>
  <c r="I24" i="29"/>
  <c r="M21" i="29"/>
  <c r="M20" i="29"/>
  <c r="T44" i="23"/>
  <c r="AK27" i="20"/>
  <c r="AK23" i="20"/>
  <c r="X42" i="23" l="1"/>
  <c r="T43" i="23"/>
  <c r="U43" i="23"/>
  <c r="W43" i="23"/>
  <c r="X43" i="23"/>
  <c r="U42" i="23"/>
  <c r="V42" i="23"/>
  <c r="X44" i="23"/>
  <c r="AK13" i="20"/>
  <c r="D54" i="20" s="1"/>
  <c r="V43" i="23"/>
  <c r="U44" i="23"/>
  <c r="T42" i="23"/>
  <c r="V44" i="23"/>
  <c r="W42" i="23"/>
  <c r="W44" i="23"/>
  <c r="K41" i="20"/>
  <c r="W41" i="20"/>
  <c r="AJ31" i="20"/>
  <c r="L41" i="20"/>
  <c r="X41" i="20"/>
  <c r="M41" i="20"/>
  <c r="Y41" i="20"/>
  <c r="N41" i="20"/>
  <c r="Z41" i="20"/>
  <c r="O41" i="20"/>
  <c r="AA41" i="20"/>
  <c r="P41" i="20"/>
  <c r="AB41" i="20"/>
  <c r="E41" i="20"/>
  <c r="Q41" i="20"/>
  <c r="AC41" i="20"/>
  <c r="F41" i="20"/>
  <c r="R41" i="20"/>
  <c r="AD41" i="20"/>
  <c r="G41" i="20"/>
  <c r="S41" i="20"/>
  <c r="AE41" i="20"/>
  <c r="H41" i="20"/>
  <c r="T41" i="20"/>
  <c r="AF41" i="20"/>
  <c r="J41" i="20"/>
  <c r="V41" i="20"/>
  <c r="AH41" i="20"/>
  <c r="AI31" i="20"/>
  <c r="AI41" i="20"/>
  <c r="AJ41" i="20"/>
  <c r="I41" i="20"/>
  <c r="U41" i="20"/>
  <c r="AG41" i="20"/>
  <c r="AH31" i="20"/>
  <c r="D41" i="20" l="1"/>
  <c r="AK41" i="20" s="1"/>
  <c r="K54" i="20" l="1"/>
  <c r="E5" i="20" l="1"/>
  <c r="F5" i="20" s="1"/>
  <c r="G5" i="20" s="1"/>
  <c r="AB17" i="20"/>
  <c r="AG31" i="20"/>
  <c r="AF31" i="20"/>
  <c r="AE31" i="20"/>
  <c r="AD31" i="20"/>
  <c r="AC31" i="20"/>
  <c r="AB31" i="20"/>
  <c r="AA31" i="20"/>
  <c r="Z31" i="20"/>
  <c r="Y31" i="20"/>
  <c r="X31" i="20"/>
  <c r="W31" i="20"/>
  <c r="V31" i="20"/>
  <c r="U31" i="20"/>
  <c r="T31" i="20"/>
  <c r="S31" i="20"/>
  <c r="R31" i="20"/>
  <c r="Q31" i="20"/>
  <c r="P31" i="20"/>
  <c r="O31" i="20"/>
  <c r="N31" i="20"/>
  <c r="M31" i="20"/>
  <c r="L31" i="20"/>
  <c r="K31" i="20"/>
  <c r="J31" i="20"/>
  <c r="I31" i="20"/>
  <c r="H31" i="20"/>
  <c r="G31" i="20"/>
  <c r="F31" i="20"/>
  <c r="E31" i="20"/>
  <c r="D31" i="20"/>
  <c r="DR22" i="18"/>
  <c r="DR18" i="18"/>
  <c r="DQ14" i="18"/>
  <c r="J17" i="20" l="1"/>
  <c r="M17" i="20"/>
  <c r="V17" i="20"/>
  <c r="W17" i="20"/>
  <c r="X17" i="20"/>
  <c r="Y17" i="20"/>
  <c r="L17" i="20"/>
  <c r="DR25" i="18"/>
  <c r="K17" i="20"/>
  <c r="DR14" i="18"/>
  <c r="H5" i="20"/>
  <c r="I5" i="20" s="1"/>
  <c r="J5" i="20" s="1"/>
  <c r="K5" i="20" s="1"/>
  <c r="L5" i="20" s="1"/>
  <c r="M5" i="20" s="1"/>
  <c r="N5" i="20" s="1"/>
  <c r="O5" i="20" s="1"/>
  <c r="P5" i="20" s="1"/>
  <c r="Q5" i="20" s="1"/>
  <c r="R5" i="20" s="1"/>
  <c r="S5" i="20" s="1"/>
  <c r="T5" i="20" s="1"/>
  <c r="U5" i="20" s="1"/>
  <c r="V5" i="20" s="1"/>
  <c r="W5" i="20" s="1"/>
  <c r="X5" i="20" s="1"/>
  <c r="Y5" i="20" s="1"/>
  <c r="Z5" i="20" s="1"/>
  <c r="AA5" i="20" s="1"/>
  <c r="AB5" i="20" s="1"/>
  <c r="AC5" i="20" s="1"/>
  <c r="AD5" i="20" s="1"/>
  <c r="AE5" i="20" s="1"/>
  <c r="AF5" i="20" s="1"/>
  <c r="AG5" i="20" s="1"/>
  <c r="AH5" i="20" s="1"/>
  <c r="AI5" i="20" s="1"/>
  <c r="AJ5" i="20" s="1"/>
  <c r="Z17" i="20"/>
  <c r="P17" i="20"/>
  <c r="D17" i="20"/>
  <c r="I37" i="20"/>
  <c r="AG37" i="20"/>
  <c r="U37" i="20"/>
  <c r="AF37" i="20"/>
  <c r="Q37" i="20"/>
  <c r="H37" i="20"/>
  <c r="G37" i="20"/>
  <c r="F37" i="20"/>
  <c r="E37" i="20"/>
  <c r="AE37" i="20"/>
  <c r="T37" i="20"/>
  <c r="S37" i="20"/>
  <c r="R37" i="20"/>
  <c r="AD37" i="20"/>
  <c r="AC37" i="20"/>
  <c r="O37" i="20"/>
  <c r="AH17" i="20"/>
  <c r="M37" i="20"/>
  <c r="AA37" i="20"/>
  <c r="Y37" i="20"/>
  <c r="J37" i="20"/>
  <c r="AH37" i="20"/>
  <c r="AI37" i="20"/>
  <c r="P37" i="20"/>
  <c r="V37" i="20"/>
  <c r="AB37" i="20"/>
  <c r="L37" i="20"/>
  <c r="K37" i="20"/>
  <c r="N37" i="20"/>
  <c r="AI17" i="20"/>
  <c r="AJ37" i="20"/>
  <c r="X37" i="20"/>
  <c r="AJ17" i="20"/>
  <c r="W37" i="20"/>
  <c r="Z37" i="20"/>
  <c r="O17" i="20"/>
  <c r="AA17" i="20"/>
  <c r="E17" i="20"/>
  <c r="F17" i="20"/>
  <c r="R17" i="20"/>
  <c r="AD17" i="20"/>
  <c r="G17" i="20"/>
  <c r="S17" i="20"/>
  <c r="AE17" i="20"/>
  <c r="DP18" i="18"/>
  <c r="H17" i="20"/>
  <c r="T17" i="20"/>
  <c r="AF17" i="20"/>
  <c r="N17" i="20"/>
  <c r="Q17" i="20"/>
  <c r="AC17" i="20"/>
  <c r="I17" i="20"/>
  <c r="U17" i="20"/>
  <c r="AG17" i="20"/>
  <c r="DP14" i="18"/>
  <c r="AK31" i="20"/>
  <c r="DQ18" i="18"/>
  <c r="DP24" i="18"/>
  <c r="DQ24" i="18"/>
  <c r="DQ25" i="18"/>
  <c r="DQ10" i="18"/>
  <c r="DR10" i="18"/>
  <c r="DR24" i="18"/>
  <c r="DQ22" i="18"/>
  <c r="DP22" i="18"/>
  <c r="DP25" i="18"/>
  <c r="DP10" i="18"/>
  <c r="DR26" i="18" l="1"/>
  <c r="H45" i="20"/>
  <c r="N45" i="20"/>
  <c r="Q45" i="20"/>
  <c r="K45" i="20"/>
  <c r="O45" i="20"/>
  <c r="AF45" i="20"/>
  <c r="L45" i="20"/>
  <c r="AC45" i="20"/>
  <c r="U45" i="20"/>
  <c r="AB45" i="20"/>
  <c r="AD45" i="20"/>
  <c r="AG45" i="20"/>
  <c r="V45" i="20"/>
  <c r="R45" i="20"/>
  <c r="I45" i="20"/>
  <c r="P45" i="20"/>
  <c r="S45" i="20"/>
  <c r="AK9" i="20"/>
  <c r="D37" i="20"/>
  <c r="M45" i="20"/>
  <c r="Z45" i="20"/>
  <c r="AI45" i="20"/>
  <c r="T45" i="20"/>
  <c r="W45" i="20"/>
  <c r="AH45" i="20"/>
  <c r="AE45" i="20"/>
  <c r="J45" i="20"/>
  <c r="E45" i="20"/>
  <c r="X45" i="20"/>
  <c r="Y45" i="20"/>
  <c r="F45" i="20"/>
  <c r="AK17" i="20"/>
  <c r="AJ45" i="20"/>
  <c r="AA45" i="20"/>
  <c r="G45" i="20"/>
  <c r="DQ26" i="18"/>
  <c r="DP26" i="18"/>
  <c r="AK37" i="20" l="1"/>
  <c r="D45" i="20"/>
  <c r="D53" i="20"/>
  <c r="AK45" i="20" l="1"/>
  <c r="K53" i="20"/>
  <c r="AO3" i="56" l="1"/>
  <c r="AN3" i="56"/>
  <c r="AM3" i="56" l="1"/>
  <c r="AL3" i="56"/>
  <c r="AK3" i="56"/>
  <c r="AJ3" i="56"/>
  <c r="AI3" i="56"/>
  <c r="AH3" i="56"/>
  <c r="AG3" i="56"/>
  <c r="AF3" i="56"/>
  <c r="AE3" i="56"/>
  <c r="AD3" i="56"/>
  <c r="AC3" i="56"/>
  <c r="AB3" i="56"/>
  <c r="AA3" i="56"/>
  <c r="Z3" i="56"/>
  <c r="Y3" i="56"/>
  <c r="X3" i="56"/>
  <c r="W3" i="56"/>
  <c r="V3" i="56"/>
  <c r="U3" i="56"/>
  <c r="T3" i="56"/>
  <c r="S3" i="56"/>
  <c r="R3" i="56"/>
  <c r="Q3" i="56"/>
  <c r="P3" i="56"/>
  <c r="O3" i="56"/>
  <c r="N3" i="56"/>
  <c r="M3" i="56"/>
  <c r="AC76" i="56"/>
  <c r="AB76" i="56"/>
  <c r="Q76" i="56"/>
  <c r="P76" i="56"/>
  <c r="O76" i="56"/>
  <c r="N76" i="56"/>
  <c r="M76" i="56"/>
  <c r="K3" i="55"/>
  <c r="J3" i="55"/>
  <c r="I3" i="55"/>
  <c r="H3" i="55"/>
  <c r="G3" i="55"/>
  <c r="F3" i="55"/>
  <c r="BD5" i="18" l="1"/>
  <c r="AQ5" i="18" s="1"/>
  <c r="AD5" i="18" s="1"/>
  <c r="Q5" i="18" s="1"/>
  <c r="Q8" i="18"/>
  <c r="AD8" i="18"/>
  <c r="AQ8" i="18"/>
  <c r="BD8" i="18"/>
  <c r="BQ8" i="18"/>
  <c r="BQ10" i="18" s="1"/>
  <c r="CE8" i="18"/>
  <c r="CS8" i="18"/>
  <c r="CS10" i="18" s="1"/>
  <c r="Q9" i="18"/>
  <c r="AD9" i="18"/>
  <c r="AD10" i="18" s="1"/>
  <c r="AQ9" i="18"/>
  <c r="BD9" i="18"/>
  <c r="BQ9" i="18"/>
  <c r="CE9" i="18"/>
  <c r="CS9" i="18"/>
  <c r="DO10" i="18"/>
  <c r="E10" i="18"/>
  <c r="F10" i="18"/>
  <c r="G10" i="18"/>
  <c r="H10" i="18"/>
  <c r="I10" i="18"/>
  <c r="J10" i="18"/>
  <c r="K10" i="18"/>
  <c r="L10" i="18"/>
  <c r="M10" i="18"/>
  <c r="N10" i="18"/>
  <c r="O10" i="18"/>
  <c r="P10" i="18"/>
  <c r="R10" i="18"/>
  <c r="S10" i="18"/>
  <c r="T10" i="18"/>
  <c r="U10" i="18"/>
  <c r="V10" i="18"/>
  <c r="W10" i="18"/>
  <c r="X10" i="18"/>
  <c r="Y10" i="18"/>
  <c r="Z10" i="18"/>
  <c r="AA10" i="18"/>
  <c r="AB10" i="18"/>
  <c r="AC10" i="18"/>
  <c r="AE10" i="18"/>
  <c r="AF10" i="18"/>
  <c r="AG10" i="18"/>
  <c r="AH10" i="18"/>
  <c r="AI10" i="18"/>
  <c r="AJ10" i="18"/>
  <c r="AK10" i="18"/>
  <c r="AL10" i="18"/>
  <c r="AM10" i="18"/>
  <c r="AN10" i="18"/>
  <c r="AO10" i="18"/>
  <c r="AP10" i="18"/>
  <c r="AR10" i="18"/>
  <c r="AS10" i="18"/>
  <c r="AT10" i="18"/>
  <c r="AU10" i="18"/>
  <c r="AV10" i="18"/>
  <c r="AW10" i="18"/>
  <c r="AX10" i="18"/>
  <c r="AY10" i="18"/>
  <c r="AZ10" i="18"/>
  <c r="BA10" i="18"/>
  <c r="BB10" i="18"/>
  <c r="BC10" i="18"/>
  <c r="BE10" i="18"/>
  <c r="BF10" i="18"/>
  <c r="BG10" i="18"/>
  <c r="BH10" i="18"/>
  <c r="BI10" i="18"/>
  <c r="BJ10" i="18"/>
  <c r="BK10" i="18"/>
  <c r="BL10" i="18"/>
  <c r="BM10" i="18"/>
  <c r="BN10" i="18"/>
  <c r="BO10" i="18"/>
  <c r="BP10" i="18"/>
  <c r="BS10" i="18"/>
  <c r="BT10" i="18"/>
  <c r="BU10" i="18"/>
  <c r="BW10" i="18"/>
  <c r="BX10" i="18"/>
  <c r="BY10" i="18"/>
  <c r="BZ10" i="18"/>
  <c r="CA10" i="18"/>
  <c r="CC10" i="18"/>
  <c r="CD10" i="18"/>
  <c r="CG10" i="18"/>
  <c r="CH10" i="18"/>
  <c r="CI10" i="18"/>
  <c r="CJ10" i="18"/>
  <c r="CK10" i="18"/>
  <c r="CL10" i="18"/>
  <c r="CM10" i="18"/>
  <c r="CN10" i="18"/>
  <c r="CO10" i="18"/>
  <c r="CP10" i="18"/>
  <c r="CQ10" i="18"/>
  <c r="CR10" i="18"/>
  <c r="CU10" i="18"/>
  <c r="CV10" i="18"/>
  <c r="CW10" i="18"/>
  <c r="CX10" i="18"/>
  <c r="CY10" i="18"/>
  <c r="CZ10" i="18"/>
  <c r="DA10" i="18"/>
  <c r="DB10" i="18"/>
  <c r="DC10" i="18"/>
  <c r="DD10" i="18"/>
  <c r="DE10" i="18"/>
  <c r="DK10" i="18"/>
  <c r="DL10" i="18"/>
  <c r="DM10" i="18"/>
  <c r="DN10" i="18"/>
  <c r="Q12" i="18"/>
  <c r="AD12" i="18"/>
  <c r="AQ12" i="18"/>
  <c r="BD12" i="18"/>
  <c r="BQ12" i="18"/>
  <c r="CE12" i="18"/>
  <c r="CS12" i="18"/>
  <c r="Q13" i="18"/>
  <c r="AD13" i="18"/>
  <c r="AQ13" i="18"/>
  <c r="BD13" i="18"/>
  <c r="BQ13" i="18"/>
  <c r="CE13" i="18"/>
  <c r="CS13" i="18"/>
  <c r="E14" i="18"/>
  <c r="F14" i="18"/>
  <c r="G14" i="18"/>
  <c r="H14" i="18"/>
  <c r="I14" i="18"/>
  <c r="J14" i="18"/>
  <c r="K14" i="18"/>
  <c r="L14" i="18"/>
  <c r="M14" i="18"/>
  <c r="N14" i="18"/>
  <c r="O14" i="18"/>
  <c r="P14" i="18"/>
  <c r="R14" i="18"/>
  <c r="S14" i="18"/>
  <c r="T14" i="18"/>
  <c r="U14" i="18"/>
  <c r="V14" i="18"/>
  <c r="W14" i="18"/>
  <c r="X14" i="18"/>
  <c r="Y14" i="18"/>
  <c r="Z14" i="18"/>
  <c r="AA14" i="18"/>
  <c r="AB14" i="18"/>
  <c r="AC14" i="18"/>
  <c r="AE14" i="18"/>
  <c r="AF14" i="18"/>
  <c r="AG14" i="18"/>
  <c r="AH14" i="18"/>
  <c r="AI14" i="18"/>
  <c r="AJ14" i="18"/>
  <c r="AK14" i="18"/>
  <c r="AL14" i="18"/>
  <c r="AM14" i="18"/>
  <c r="AN14" i="18"/>
  <c r="AO14" i="18"/>
  <c r="AP14" i="18"/>
  <c r="AR14" i="18"/>
  <c r="AS14" i="18"/>
  <c r="AT14" i="18"/>
  <c r="AU14" i="18"/>
  <c r="AV14" i="18"/>
  <c r="AW14" i="18"/>
  <c r="AX14" i="18"/>
  <c r="AY14" i="18"/>
  <c r="AZ14" i="18"/>
  <c r="BA14" i="18"/>
  <c r="BB14" i="18"/>
  <c r="BC14" i="18"/>
  <c r="BE14" i="18"/>
  <c r="BF14" i="18"/>
  <c r="BG14" i="18"/>
  <c r="BH14" i="18"/>
  <c r="BI14" i="18"/>
  <c r="BJ14" i="18"/>
  <c r="BK14" i="18"/>
  <c r="BL14" i="18"/>
  <c r="BM14" i="18"/>
  <c r="BN14" i="18"/>
  <c r="BO14" i="18"/>
  <c r="BP14" i="18"/>
  <c r="BS14" i="18"/>
  <c r="BT14" i="18"/>
  <c r="BU14" i="18"/>
  <c r="BW14" i="18"/>
  <c r="BX14" i="18"/>
  <c r="BY14" i="18"/>
  <c r="BZ14" i="18"/>
  <c r="CA14" i="18"/>
  <c r="CC14" i="18"/>
  <c r="CD14" i="18"/>
  <c r="CG14" i="18"/>
  <c r="CH14" i="18"/>
  <c r="CI14" i="18"/>
  <c r="CJ14" i="18"/>
  <c r="CK14" i="18"/>
  <c r="CL14" i="18"/>
  <c r="CM14" i="18"/>
  <c r="CN14" i="18"/>
  <c r="CO14" i="18"/>
  <c r="CP14" i="18"/>
  <c r="CQ14" i="18"/>
  <c r="CR14" i="18"/>
  <c r="CU14" i="18"/>
  <c r="CV14" i="18"/>
  <c r="CW14" i="18"/>
  <c r="CX14" i="18"/>
  <c r="CY14" i="18"/>
  <c r="CZ14" i="18"/>
  <c r="DA14" i="18"/>
  <c r="DB14" i="18"/>
  <c r="DC14" i="18"/>
  <c r="DD14" i="18"/>
  <c r="DE14" i="18"/>
  <c r="DK14" i="18"/>
  <c r="DL14" i="18"/>
  <c r="DM14" i="18"/>
  <c r="DN14" i="18"/>
  <c r="DO14" i="18"/>
  <c r="Q16" i="18"/>
  <c r="AD16" i="18"/>
  <c r="AQ16" i="18"/>
  <c r="BD16" i="18"/>
  <c r="BQ16" i="18"/>
  <c r="CE16" i="18"/>
  <c r="CS16" i="18"/>
  <c r="DO18" i="18"/>
  <c r="Q17" i="18"/>
  <c r="AD17" i="18"/>
  <c r="AQ17" i="18"/>
  <c r="BD17" i="18"/>
  <c r="BQ17" i="18"/>
  <c r="CE17" i="18"/>
  <c r="CS17" i="18"/>
  <c r="DM18" i="18"/>
  <c r="E18" i="18"/>
  <c r="F18" i="18"/>
  <c r="G18" i="18"/>
  <c r="H18" i="18"/>
  <c r="I18" i="18"/>
  <c r="J18" i="18"/>
  <c r="K18" i="18"/>
  <c r="L18" i="18"/>
  <c r="M18" i="18"/>
  <c r="N18" i="18"/>
  <c r="O18" i="18"/>
  <c r="P18" i="18"/>
  <c r="R18" i="18"/>
  <c r="S18" i="18"/>
  <c r="T18" i="18"/>
  <c r="U18" i="18"/>
  <c r="V18" i="18"/>
  <c r="W18" i="18"/>
  <c r="X18" i="18"/>
  <c r="Y18" i="18"/>
  <c r="Z18" i="18"/>
  <c r="AA18" i="18"/>
  <c r="AB18" i="18"/>
  <c r="AC18" i="18"/>
  <c r="AE18" i="18"/>
  <c r="AF18" i="18"/>
  <c r="AG18" i="18"/>
  <c r="AH18" i="18"/>
  <c r="AI18" i="18"/>
  <c r="AJ18" i="18"/>
  <c r="AK18" i="18"/>
  <c r="AL18" i="18"/>
  <c r="AM18" i="18"/>
  <c r="AN18" i="18"/>
  <c r="AO18" i="18"/>
  <c r="AP18" i="18"/>
  <c r="AR18" i="18"/>
  <c r="AS18" i="18"/>
  <c r="AT18" i="18"/>
  <c r="AU18" i="18"/>
  <c r="AV18" i="18"/>
  <c r="AW18" i="18"/>
  <c r="AX18" i="18"/>
  <c r="AY18" i="18"/>
  <c r="AZ18" i="18"/>
  <c r="BA18" i="18"/>
  <c r="BB18" i="18"/>
  <c r="BC18" i="18"/>
  <c r="BE18" i="18"/>
  <c r="BF18" i="18"/>
  <c r="BG18" i="18"/>
  <c r="BH18" i="18"/>
  <c r="BI18" i="18"/>
  <c r="BJ18" i="18"/>
  <c r="BK18" i="18"/>
  <c r="BL18" i="18"/>
  <c r="BM18" i="18"/>
  <c r="BN18" i="18"/>
  <c r="BO18" i="18"/>
  <c r="BP18" i="18"/>
  <c r="BS18" i="18"/>
  <c r="BT18" i="18"/>
  <c r="BU18" i="18"/>
  <c r="BW18" i="18"/>
  <c r="BX18" i="18"/>
  <c r="BY18" i="18"/>
  <c r="BZ18" i="18"/>
  <c r="CA18" i="18"/>
  <c r="CC18" i="18"/>
  <c r="CD18" i="18"/>
  <c r="CG18" i="18"/>
  <c r="CH18" i="18"/>
  <c r="CI18" i="18"/>
  <c r="CJ18" i="18"/>
  <c r="CK18" i="18"/>
  <c r="CL18" i="18"/>
  <c r="CM18" i="18"/>
  <c r="CN18" i="18"/>
  <c r="CO18" i="18"/>
  <c r="CP18" i="18"/>
  <c r="CQ18" i="18"/>
  <c r="CR18" i="18"/>
  <c r="CU18" i="18"/>
  <c r="CV18" i="18"/>
  <c r="CW18" i="18"/>
  <c r="CX18" i="18"/>
  <c r="CY18" i="18"/>
  <c r="CZ18" i="18"/>
  <c r="DA18" i="18"/>
  <c r="DB18" i="18"/>
  <c r="DC18" i="18"/>
  <c r="DD18" i="18"/>
  <c r="DE18" i="18"/>
  <c r="DK18" i="18"/>
  <c r="DL18" i="18"/>
  <c r="DN18" i="18"/>
  <c r="Q20" i="18"/>
  <c r="AD20" i="18"/>
  <c r="AQ20" i="18"/>
  <c r="BD20" i="18"/>
  <c r="BQ20" i="18"/>
  <c r="CE20" i="18"/>
  <c r="CS20" i="18"/>
  <c r="Q21" i="18"/>
  <c r="AD21" i="18"/>
  <c r="AQ21" i="18"/>
  <c r="BD21" i="18"/>
  <c r="BQ21" i="18"/>
  <c r="CE21" i="18"/>
  <c r="CS21" i="18"/>
  <c r="E22" i="18"/>
  <c r="F22" i="18"/>
  <c r="G22" i="18"/>
  <c r="H22" i="18"/>
  <c r="I22" i="18"/>
  <c r="J22" i="18"/>
  <c r="K22" i="18"/>
  <c r="L22" i="18"/>
  <c r="M22" i="18"/>
  <c r="N22" i="18"/>
  <c r="O22" i="18"/>
  <c r="P22" i="18"/>
  <c r="R22" i="18"/>
  <c r="S22" i="18"/>
  <c r="T22" i="18"/>
  <c r="U22" i="18"/>
  <c r="V22" i="18"/>
  <c r="W22" i="18"/>
  <c r="X22" i="18"/>
  <c r="Y22" i="18"/>
  <c r="Z22" i="18"/>
  <c r="AA22" i="18"/>
  <c r="AB22" i="18"/>
  <c r="AC22" i="18"/>
  <c r="AE22" i="18"/>
  <c r="AF22" i="18"/>
  <c r="AG22" i="18"/>
  <c r="AH22" i="18"/>
  <c r="AI22" i="18"/>
  <c r="AJ22" i="18"/>
  <c r="AK22" i="18"/>
  <c r="AL22" i="18"/>
  <c r="AM22" i="18"/>
  <c r="AN22" i="18"/>
  <c r="AO22" i="18"/>
  <c r="AP22" i="18"/>
  <c r="AR22" i="18"/>
  <c r="AS22" i="18"/>
  <c r="AT22" i="18"/>
  <c r="AU22" i="18"/>
  <c r="AV22" i="18"/>
  <c r="AW22" i="18"/>
  <c r="AX22" i="18"/>
  <c r="AY22" i="18"/>
  <c r="AZ22" i="18"/>
  <c r="BA22" i="18"/>
  <c r="BB22" i="18"/>
  <c r="BC22" i="18"/>
  <c r="BE22" i="18"/>
  <c r="BF22" i="18"/>
  <c r="BG22" i="18"/>
  <c r="BH22" i="18"/>
  <c r="BI22" i="18"/>
  <c r="BJ22" i="18"/>
  <c r="BK22" i="18"/>
  <c r="BL22" i="18"/>
  <c r="BM22" i="18"/>
  <c r="BN22" i="18"/>
  <c r="BO22" i="18"/>
  <c r="BP22" i="18"/>
  <c r="BS22" i="18"/>
  <c r="BT22" i="18"/>
  <c r="BU22" i="18"/>
  <c r="BV22" i="18"/>
  <c r="BW22" i="18"/>
  <c r="BX22" i="18"/>
  <c r="BY22" i="18"/>
  <c r="BZ22" i="18"/>
  <c r="CA22" i="18"/>
  <c r="CB22" i="18"/>
  <c r="CC22" i="18"/>
  <c r="CD22" i="18"/>
  <c r="CG22" i="18"/>
  <c r="CH22" i="18"/>
  <c r="CI22" i="18"/>
  <c r="CJ22" i="18"/>
  <c r="CK22" i="18"/>
  <c r="CL22" i="18"/>
  <c r="CM22" i="18"/>
  <c r="CN22" i="18"/>
  <c r="CO22" i="18"/>
  <c r="CP22" i="18"/>
  <c r="CQ22" i="18"/>
  <c r="CR22" i="18"/>
  <c r="CU22" i="18"/>
  <c r="CV22" i="18"/>
  <c r="CW22" i="18"/>
  <c r="CX22" i="18"/>
  <c r="CY22" i="18"/>
  <c r="CZ22" i="18"/>
  <c r="DA22" i="18"/>
  <c r="DB22" i="18"/>
  <c r="DC22" i="18"/>
  <c r="DD22" i="18"/>
  <c r="DE22" i="18"/>
  <c r="DK22" i="18"/>
  <c r="DL22" i="18"/>
  <c r="DM22" i="18"/>
  <c r="DN22" i="18"/>
  <c r="DO22" i="18"/>
  <c r="E24" i="18"/>
  <c r="F24" i="18"/>
  <c r="G24" i="18"/>
  <c r="H24" i="18"/>
  <c r="I24" i="18"/>
  <c r="J24" i="18"/>
  <c r="K24" i="18"/>
  <c r="L24" i="18"/>
  <c r="M24" i="18"/>
  <c r="N24" i="18"/>
  <c r="O24" i="18"/>
  <c r="P24" i="18"/>
  <c r="R24" i="18"/>
  <c r="S24" i="18"/>
  <c r="T24" i="18"/>
  <c r="U24" i="18"/>
  <c r="V24" i="18"/>
  <c r="W24" i="18"/>
  <c r="X24" i="18"/>
  <c r="Y24" i="18"/>
  <c r="Z24" i="18"/>
  <c r="AA24" i="18"/>
  <c r="AB24" i="18"/>
  <c r="AC24" i="18"/>
  <c r="AE24" i="18"/>
  <c r="AF24" i="18"/>
  <c r="AG24" i="18"/>
  <c r="AH24" i="18"/>
  <c r="AI24" i="18"/>
  <c r="AJ24" i="18"/>
  <c r="AK24" i="18"/>
  <c r="AL24" i="18"/>
  <c r="AM24" i="18"/>
  <c r="AN24" i="18"/>
  <c r="AO24" i="18"/>
  <c r="AP24" i="18"/>
  <c r="AR24" i="18"/>
  <c r="AS24" i="18"/>
  <c r="AT24" i="18"/>
  <c r="AU24" i="18"/>
  <c r="AV24" i="18"/>
  <c r="AW24" i="18"/>
  <c r="AX24" i="18"/>
  <c r="AY24" i="18"/>
  <c r="AZ24" i="18"/>
  <c r="BA24" i="18"/>
  <c r="BB24" i="18"/>
  <c r="BC24" i="18"/>
  <c r="BE24" i="18"/>
  <c r="BF24" i="18"/>
  <c r="BG24" i="18"/>
  <c r="BH24" i="18"/>
  <c r="BI24" i="18"/>
  <c r="BJ24" i="18"/>
  <c r="BK24" i="18"/>
  <c r="BL24" i="18"/>
  <c r="BM24" i="18"/>
  <c r="BN24" i="18"/>
  <c r="BO24" i="18"/>
  <c r="BP24" i="18"/>
  <c r="BS24" i="18"/>
  <c r="BT24" i="18"/>
  <c r="BU24" i="18"/>
  <c r="BW24" i="18"/>
  <c r="BX24" i="18"/>
  <c r="BY24" i="18"/>
  <c r="BZ24" i="18"/>
  <c r="CA24" i="18"/>
  <c r="CC24" i="18"/>
  <c r="CD24" i="18"/>
  <c r="CG24" i="18"/>
  <c r="CH24" i="18"/>
  <c r="CI24" i="18"/>
  <c r="CJ24" i="18"/>
  <c r="CK24" i="18"/>
  <c r="CL24" i="18"/>
  <c r="CL26" i="18" s="1"/>
  <c r="CM24" i="18"/>
  <c r="CN24" i="18"/>
  <c r="CO24" i="18"/>
  <c r="CP24" i="18"/>
  <c r="CQ24" i="18"/>
  <c r="CR24" i="18"/>
  <c r="CU24" i="18"/>
  <c r="CV24" i="18"/>
  <c r="CW24" i="18"/>
  <c r="CX24" i="18"/>
  <c r="CY24" i="18"/>
  <c r="CZ24" i="18"/>
  <c r="DA24" i="18"/>
  <c r="DB24" i="18"/>
  <c r="DC24" i="18"/>
  <c r="DD24" i="18"/>
  <c r="DE24" i="18"/>
  <c r="DK24" i="18"/>
  <c r="DL24" i="18"/>
  <c r="DM24" i="18"/>
  <c r="DN24" i="18"/>
  <c r="E25" i="18"/>
  <c r="F25" i="18"/>
  <c r="G25" i="18"/>
  <c r="G26" i="18" s="1"/>
  <c r="H25" i="18"/>
  <c r="I25" i="18"/>
  <c r="J25" i="18"/>
  <c r="K25" i="18"/>
  <c r="L25" i="18"/>
  <c r="M25" i="18"/>
  <c r="N25" i="18"/>
  <c r="O25" i="18"/>
  <c r="O26" i="18" s="1"/>
  <c r="P25" i="18"/>
  <c r="P26" i="18" s="1"/>
  <c r="Q25" i="18"/>
  <c r="R25" i="18"/>
  <c r="S25" i="18"/>
  <c r="T25" i="18"/>
  <c r="T26" i="18" s="1"/>
  <c r="U25" i="18"/>
  <c r="V25" i="18"/>
  <c r="W25" i="18"/>
  <c r="X25" i="18"/>
  <c r="Y25" i="18"/>
  <c r="Z25" i="18"/>
  <c r="AA25" i="18"/>
  <c r="AB25" i="18"/>
  <c r="AB26" i="18" s="1"/>
  <c r="AC25" i="18"/>
  <c r="AC26" i="18" s="1"/>
  <c r="AE25" i="18"/>
  <c r="AF25" i="18"/>
  <c r="AG25" i="18"/>
  <c r="AG26" i="18" s="1"/>
  <c r="AH25" i="18"/>
  <c r="AI25" i="18"/>
  <c r="AJ25" i="18"/>
  <c r="AJ26" i="18" s="1"/>
  <c r="AK25" i="18"/>
  <c r="AL25" i="18"/>
  <c r="AM25" i="18"/>
  <c r="AN25" i="18"/>
  <c r="AO25" i="18"/>
  <c r="AO26" i="18" s="1"/>
  <c r="AP25" i="18"/>
  <c r="AR25" i="18"/>
  <c r="AS25" i="18"/>
  <c r="AT25" i="18"/>
  <c r="AT26" i="18" s="1"/>
  <c r="AU25" i="18"/>
  <c r="AV25" i="18"/>
  <c r="AW25" i="18"/>
  <c r="AX25" i="18"/>
  <c r="AY25" i="18"/>
  <c r="AZ25" i="18"/>
  <c r="AZ26" i="18" s="1"/>
  <c r="BA25" i="18"/>
  <c r="BB25" i="18"/>
  <c r="BB26" i="18" s="1"/>
  <c r="BC25" i="18"/>
  <c r="BC26" i="18" s="1"/>
  <c r="BE25" i="18"/>
  <c r="BF25" i="18"/>
  <c r="BG25" i="18"/>
  <c r="BH25" i="18"/>
  <c r="BI25" i="18"/>
  <c r="BJ25" i="18"/>
  <c r="BK25" i="18"/>
  <c r="BL25" i="18"/>
  <c r="BM25" i="18"/>
  <c r="BM26" i="18" s="1"/>
  <c r="BN25" i="18"/>
  <c r="BO25" i="18"/>
  <c r="BO26" i="18" s="1"/>
  <c r="BP25" i="18"/>
  <c r="BS25" i="18"/>
  <c r="BT25" i="18"/>
  <c r="BU25" i="18"/>
  <c r="BW25" i="18"/>
  <c r="BX25" i="18"/>
  <c r="BY25" i="18"/>
  <c r="BZ25" i="18"/>
  <c r="CA25" i="18"/>
  <c r="CC25" i="18"/>
  <c r="CC26" i="18" s="1"/>
  <c r="CD25" i="18"/>
  <c r="CG25" i="18"/>
  <c r="CG26" i="18" s="1"/>
  <c r="CH25" i="18"/>
  <c r="CI25" i="18"/>
  <c r="CJ25" i="18"/>
  <c r="CK25" i="18"/>
  <c r="CK26" i="18" s="1"/>
  <c r="CL25" i="18"/>
  <c r="CM25" i="18"/>
  <c r="CN25" i="18"/>
  <c r="CO25" i="18"/>
  <c r="CP25" i="18"/>
  <c r="CQ25" i="18"/>
  <c r="CQ26" i="18" s="1"/>
  <c r="CR25" i="18"/>
  <c r="CU25" i="18"/>
  <c r="CV25" i="18"/>
  <c r="CW25" i="18"/>
  <c r="CX25" i="18"/>
  <c r="CY25" i="18"/>
  <c r="CZ25" i="18"/>
  <c r="DA25" i="18"/>
  <c r="DB25" i="18"/>
  <c r="DC25" i="18"/>
  <c r="DD25" i="18"/>
  <c r="DD26" i="18" s="1"/>
  <c r="DE25" i="18"/>
  <c r="DE26" i="18" s="1"/>
  <c r="DK25" i="18"/>
  <c r="DL25" i="18"/>
  <c r="DN25" i="18"/>
  <c r="AI26" i="18"/>
  <c r="DC26" i="18"/>
  <c r="BE26" i="18" l="1"/>
  <c r="CW26" i="18"/>
  <c r="CI26" i="18"/>
  <c r="E26" i="18"/>
  <c r="CR26" i="18"/>
  <c r="CD26" i="18"/>
  <c r="BA26" i="18"/>
  <c r="AN26" i="18"/>
  <c r="AA26" i="18"/>
  <c r="DK26" i="18"/>
  <c r="BS26" i="18"/>
  <c r="CE22" i="18"/>
  <c r="CA26" i="18"/>
  <c r="L26" i="18"/>
  <c r="AV26" i="18"/>
  <c r="BZ26" i="18"/>
  <c r="BK26" i="18"/>
  <c r="CE10" i="18"/>
  <c r="CM26" i="18"/>
  <c r="AU26" i="18"/>
  <c r="I26" i="18"/>
  <c r="BD25" i="18"/>
  <c r="AD18" i="18"/>
  <c r="AR26" i="18"/>
  <c r="AE26" i="18"/>
  <c r="Q18" i="18"/>
  <c r="CJ26" i="18"/>
  <c r="BT26" i="18"/>
  <c r="S26" i="18"/>
  <c r="Q22" i="18"/>
  <c r="Q10" i="18"/>
  <c r="AQ18" i="18"/>
  <c r="BP26" i="18"/>
  <c r="BQ22" i="18"/>
  <c r="AX26" i="18"/>
  <c r="AK26" i="18"/>
  <c r="X26" i="18"/>
  <c r="DN26" i="18"/>
  <c r="CS22" i="18"/>
  <c r="AQ25" i="18"/>
  <c r="CU26" i="18"/>
  <c r="N26" i="18"/>
  <c r="CS25" i="18"/>
  <c r="CV26" i="18"/>
  <c r="CO26" i="18"/>
  <c r="AM26" i="18"/>
  <c r="Z26" i="18"/>
  <c r="M26" i="18"/>
  <c r="CE14" i="18"/>
  <c r="Q14" i="18"/>
  <c r="BL26" i="18"/>
  <c r="AY26" i="18"/>
  <c r="AL26" i="18"/>
  <c r="BQ25" i="18"/>
  <c r="K26" i="18"/>
  <c r="BD14" i="18"/>
  <c r="DB26" i="18"/>
  <c r="CN26" i="18"/>
  <c r="BY26" i="18"/>
  <c r="BJ26" i="18"/>
  <c r="W26" i="18"/>
  <c r="J26" i="18"/>
  <c r="CE18" i="18"/>
  <c r="AQ14" i="18"/>
  <c r="DA26" i="18"/>
  <c r="BX26" i="18"/>
  <c r="BI26" i="18"/>
  <c r="V26" i="18"/>
  <c r="BQ18" i="18"/>
  <c r="AS26" i="18"/>
  <c r="AF26" i="18"/>
  <c r="CZ26" i="18"/>
  <c r="BH26" i="18"/>
  <c r="U26" i="18"/>
  <c r="H26" i="18"/>
  <c r="BD18" i="18"/>
  <c r="F26" i="18"/>
  <c r="CY26" i="18"/>
  <c r="BU26" i="18"/>
  <c r="BG26" i="18"/>
  <c r="CS18" i="18"/>
  <c r="AQ24" i="18"/>
  <c r="AH26" i="18"/>
  <c r="AD14" i="18"/>
  <c r="AQ10" i="18"/>
  <c r="BD10" i="18"/>
  <c r="CH26" i="18"/>
  <c r="BF26" i="18"/>
  <c r="DL26" i="18"/>
  <c r="BQ24" i="18"/>
  <c r="BQ26" i="18" s="1"/>
  <c r="CS24" i="18"/>
  <c r="CS26" i="18" s="1"/>
  <c r="Y26" i="18"/>
  <c r="CE24" i="18"/>
  <c r="R26" i="18"/>
  <c r="AW26" i="18"/>
  <c r="AP26" i="18"/>
  <c r="Q24" i="18"/>
  <c r="Q26" i="18" s="1"/>
  <c r="BD22" i="18"/>
  <c r="CE25" i="18"/>
  <c r="CX26" i="18"/>
  <c r="BW26" i="18"/>
  <c r="CP26" i="18"/>
  <c r="BN26" i="18"/>
  <c r="AQ22" i="18"/>
  <c r="AD22" i="18"/>
  <c r="BD24" i="18"/>
  <c r="BD26" i="18" s="1"/>
  <c r="CS14" i="18"/>
  <c r="BQ14" i="18"/>
  <c r="AD25" i="18"/>
  <c r="DO25" i="18"/>
  <c r="AD24" i="18"/>
  <c r="DO24" i="18"/>
  <c r="DO26" i="18" s="1"/>
  <c r="DM25" i="18"/>
  <c r="DM26" i="18" s="1"/>
  <c r="AQ26" i="18" l="1"/>
  <c r="AD26" i="18"/>
  <c r="CE26" i="18"/>
  <c r="J16" i="28" l="1"/>
  <c r="M41" i="29" l="1"/>
  <c r="M40" i="29"/>
  <c r="M39" i="29"/>
  <c r="L41" i="29"/>
  <c r="L40" i="29"/>
  <c r="L39" i="29"/>
  <c r="K41" i="29"/>
  <c r="K40" i="29"/>
  <c r="K39" i="29"/>
  <c r="M19" i="29"/>
  <c r="M18" i="29"/>
  <c r="L19" i="29"/>
  <c r="L18" i="29"/>
  <c r="K19" i="29"/>
  <c r="X41" i="23" l="1"/>
  <c r="X40" i="23"/>
  <c r="X39" i="23"/>
  <c r="X38" i="23"/>
  <c r="X37" i="23"/>
  <c r="X36" i="23"/>
  <c r="X35" i="23"/>
  <c r="X34" i="23"/>
  <c r="X33" i="23"/>
  <c r="X32" i="23"/>
  <c r="X31" i="23"/>
  <c r="X30" i="23"/>
  <c r="X29" i="23"/>
  <c r="X28" i="23"/>
  <c r="X27" i="23"/>
  <c r="X26" i="23"/>
  <c r="X25" i="23"/>
  <c r="X24" i="23"/>
  <c r="X23" i="23"/>
  <c r="X22" i="23"/>
  <c r="X21" i="23"/>
  <c r="X20" i="23"/>
  <c r="X19" i="23"/>
  <c r="X18" i="23"/>
  <c r="X17" i="23"/>
  <c r="X16" i="23"/>
  <c r="X15" i="23"/>
  <c r="X14" i="23"/>
  <c r="X13" i="23"/>
  <c r="X12" i="23"/>
  <c r="W41" i="23"/>
  <c r="W40" i="23"/>
  <c r="W39" i="23"/>
  <c r="W38" i="23"/>
  <c r="W37" i="23"/>
  <c r="W36" i="23"/>
  <c r="W35" i="23"/>
  <c r="W34" i="23"/>
  <c r="W33" i="23"/>
  <c r="W32" i="23"/>
  <c r="W31" i="23"/>
  <c r="W30" i="23"/>
  <c r="W29" i="23"/>
  <c r="W28" i="23"/>
  <c r="W27" i="23"/>
  <c r="W26" i="23"/>
  <c r="W25" i="23"/>
  <c r="W24" i="23"/>
  <c r="W23" i="23"/>
  <c r="W22" i="23"/>
  <c r="W21" i="23"/>
  <c r="W20" i="23"/>
  <c r="W19" i="23"/>
  <c r="W18" i="23"/>
  <c r="W17" i="23"/>
  <c r="W16" i="23"/>
  <c r="W15" i="23"/>
  <c r="W14" i="23"/>
  <c r="W13" i="23"/>
  <c r="W12" i="23"/>
  <c r="V41" i="23"/>
  <c r="V40" i="23"/>
  <c r="V39" i="23"/>
  <c r="V38" i="23"/>
  <c r="V37" i="23"/>
  <c r="V36" i="23"/>
  <c r="V35" i="23"/>
  <c r="V34" i="23"/>
  <c r="V33" i="23"/>
  <c r="V32" i="23"/>
  <c r="V31" i="23"/>
  <c r="V30" i="23"/>
  <c r="V29" i="23"/>
  <c r="V28" i="23"/>
  <c r="V27" i="23"/>
  <c r="V26" i="23"/>
  <c r="V25" i="23"/>
  <c r="V24" i="23"/>
  <c r="V23" i="23"/>
  <c r="V22" i="23"/>
  <c r="V21" i="23"/>
  <c r="V20" i="23"/>
  <c r="V19" i="23"/>
  <c r="V18" i="23"/>
  <c r="V17" i="23"/>
  <c r="V16" i="23"/>
  <c r="V15" i="23"/>
  <c r="V14" i="23"/>
  <c r="V13" i="23"/>
  <c r="V12" i="23"/>
  <c r="U41" i="23"/>
  <c r="U40" i="23"/>
  <c r="U39" i="23"/>
  <c r="U38" i="23"/>
  <c r="U37" i="23"/>
  <c r="U36" i="23"/>
  <c r="U35" i="23"/>
  <c r="U34" i="23"/>
  <c r="U33" i="23"/>
  <c r="U32" i="23"/>
  <c r="U31" i="23"/>
  <c r="U30" i="23"/>
  <c r="U29" i="23"/>
  <c r="U28" i="23"/>
  <c r="U27" i="23"/>
  <c r="U26" i="23"/>
  <c r="U25" i="23"/>
  <c r="U24" i="23"/>
  <c r="U23" i="23"/>
  <c r="U22" i="23"/>
  <c r="U21" i="23"/>
  <c r="U20" i="23"/>
  <c r="U19" i="23"/>
  <c r="U18" i="23"/>
  <c r="U17" i="23"/>
  <c r="U16" i="23"/>
  <c r="U15" i="23"/>
  <c r="U14" i="23"/>
  <c r="U13" i="23"/>
  <c r="U12" i="23"/>
  <c r="T41" i="23"/>
  <c r="T40" i="23"/>
  <c r="T39" i="23"/>
  <c r="T38" i="23"/>
  <c r="T37" i="23"/>
  <c r="T36" i="23"/>
  <c r="T35" i="23"/>
  <c r="T34" i="23"/>
  <c r="T33" i="23"/>
  <c r="T32" i="23"/>
  <c r="T31" i="23"/>
  <c r="T30" i="23"/>
  <c r="T29" i="23"/>
  <c r="T28" i="23"/>
  <c r="T27" i="23"/>
  <c r="T26" i="23"/>
  <c r="T25" i="23"/>
  <c r="T24" i="23"/>
  <c r="T23" i="23"/>
  <c r="T22" i="23"/>
  <c r="T21" i="23"/>
  <c r="T20" i="23"/>
  <c r="T19" i="23"/>
  <c r="T18" i="23"/>
  <c r="T17" i="23"/>
  <c r="T16" i="23"/>
  <c r="T15" i="23"/>
  <c r="T14" i="23"/>
  <c r="T13" i="23"/>
  <c r="T12" i="23"/>
  <c r="P46" i="23" l="1"/>
  <c r="O46" i="23"/>
  <c r="N46" i="23"/>
  <c r="M46" i="23"/>
  <c r="L46" i="23"/>
  <c r="H46" i="23"/>
  <c r="G46" i="23"/>
  <c r="F46" i="23"/>
  <c r="E46" i="23"/>
  <c r="D46" i="23"/>
  <c r="V46" i="23" l="1"/>
  <c r="U46" i="23"/>
  <c r="W46" i="23"/>
  <c r="X46" i="23"/>
  <c r="T46" i="23"/>
  <c r="D49" i="20" l="1"/>
  <c r="AS25" i="49" l="1"/>
  <c r="W11" i="20" l="1"/>
  <c r="V11" i="20"/>
  <c r="K11" i="20"/>
  <c r="X11" i="20"/>
  <c r="N11" i="20"/>
  <c r="L11" i="20"/>
  <c r="M11" i="20"/>
  <c r="Y11" i="20"/>
  <c r="J11" i="20"/>
  <c r="AI11" i="20"/>
  <c r="I11" i="20"/>
  <c r="G11" i="20"/>
  <c r="U11" i="20"/>
  <c r="H11" i="20"/>
  <c r="O11" i="20"/>
  <c r="AH11" i="20"/>
  <c r="AF11" i="20"/>
  <c r="Q11" i="20"/>
  <c r="S11" i="20"/>
  <c r="AG11" i="20"/>
  <c r="AD11" i="20"/>
  <c r="AC11" i="20"/>
  <c r="AE11" i="20"/>
  <c r="AA11" i="20"/>
  <c r="Z11" i="20"/>
  <c r="F11" i="20"/>
  <c r="E11" i="20"/>
  <c r="AB11" i="20"/>
  <c r="R11" i="20"/>
  <c r="T11" i="20"/>
  <c r="P11" i="20"/>
  <c r="AJ11" i="20"/>
  <c r="AH18" i="20"/>
  <c r="AH19" i="20" s="1"/>
  <c r="AJ15" i="20"/>
  <c r="AI15" i="20"/>
  <c r="AH15" i="20"/>
  <c r="AJ18" i="20"/>
  <c r="AJ19" i="20" s="1"/>
  <c r="AG18" i="20"/>
  <c r="AG19" i="20" s="1"/>
  <c r="AI18" i="20"/>
  <c r="AI19" i="20" s="1"/>
  <c r="W18" i="20"/>
  <c r="W19" i="20" s="1"/>
  <c r="K18" i="20"/>
  <c r="K19" i="20" s="1"/>
  <c r="Y15" i="20"/>
  <c r="M15" i="20"/>
  <c r="V18" i="20"/>
  <c r="V19" i="20" s="1"/>
  <c r="J18" i="20"/>
  <c r="J19" i="20" s="1"/>
  <c r="X15" i="20"/>
  <c r="L15" i="20"/>
  <c r="I15" i="20"/>
  <c r="AD18" i="20"/>
  <c r="AD19" i="20" s="1"/>
  <c r="F18" i="20"/>
  <c r="F19" i="20" s="1"/>
  <c r="H15" i="20"/>
  <c r="F15" i="20"/>
  <c r="Z18" i="20"/>
  <c r="Z19" i="20" s="1"/>
  <c r="AB15" i="20"/>
  <c r="M18" i="20"/>
  <c r="M19" i="20" s="1"/>
  <c r="U18" i="20"/>
  <c r="U19" i="20" s="1"/>
  <c r="I18" i="20"/>
  <c r="I19" i="20" s="1"/>
  <c r="W15" i="20"/>
  <c r="K15" i="20"/>
  <c r="S18" i="20"/>
  <c r="S19" i="20" s="1"/>
  <c r="U15" i="20"/>
  <c r="R18" i="20"/>
  <c r="R19" i="20" s="1"/>
  <c r="T15" i="20"/>
  <c r="AA15" i="20"/>
  <c r="X18" i="20"/>
  <c r="X19" i="20" s="1"/>
  <c r="L18" i="20"/>
  <c r="L19" i="20" s="1"/>
  <c r="N15" i="20"/>
  <c r="AF18" i="20"/>
  <c r="AF19" i="20" s="1"/>
  <c r="T18" i="20"/>
  <c r="T19" i="20" s="1"/>
  <c r="H18" i="20"/>
  <c r="H19" i="20" s="1"/>
  <c r="V15" i="20"/>
  <c r="J15" i="20"/>
  <c r="AE18" i="20"/>
  <c r="AE19" i="20" s="1"/>
  <c r="G18" i="20"/>
  <c r="G19" i="20" s="1"/>
  <c r="AG15" i="20"/>
  <c r="AF15" i="20"/>
  <c r="R15" i="20"/>
  <c r="AA18" i="20"/>
  <c r="AA19" i="20" s="1"/>
  <c r="AC15" i="20"/>
  <c r="E15" i="20"/>
  <c r="N18" i="20"/>
  <c r="N19" i="20" s="1"/>
  <c r="P15" i="20"/>
  <c r="Z15" i="20"/>
  <c r="AC18" i="20"/>
  <c r="AC19" i="20" s="1"/>
  <c r="Q18" i="20"/>
  <c r="Q19" i="20" s="1"/>
  <c r="E18" i="20"/>
  <c r="E19" i="20" s="1"/>
  <c r="AE15" i="20"/>
  <c r="S15" i="20"/>
  <c r="G15" i="20"/>
  <c r="AB18" i="20"/>
  <c r="AB19" i="20" s="1"/>
  <c r="P18" i="20"/>
  <c r="P19" i="20" s="1"/>
  <c r="AD15" i="20"/>
  <c r="O18" i="20"/>
  <c r="O19" i="20" s="1"/>
  <c r="Q15" i="20"/>
  <c r="Y18" i="20"/>
  <c r="Y19" i="20" s="1"/>
  <c r="O15" i="20"/>
  <c r="AJ42" i="20"/>
  <c r="AA42" i="20"/>
  <c r="Z42" i="20"/>
  <c r="AJ32" i="20"/>
  <c r="AJ33" i="20" s="1"/>
  <c r="N42" i="20"/>
  <c r="L42" i="20"/>
  <c r="L43" i="20" s="1"/>
  <c r="Y42" i="20"/>
  <c r="X42" i="20"/>
  <c r="AH32" i="20"/>
  <c r="AH33" i="20" s="1"/>
  <c r="O42" i="20"/>
  <c r="AI32" i="20"/>
  <c r="AI33" i="20" s="1"/>
  <c r="M42" i="20"/>
  <c r="P42" i="20"/>
  <c r="I42" i="20"/>
  <c r="AB42" i="20"/>
  <c r="Q42" i="20"/>
  <c r="E42" i="20"/>
  <c r="U42" i="20"/>
  <c r="AH29" i="20"/>
  <c r="AC42" i="20"/>
  <c r="G42" i="20"/>
  <c r="AG42" i="20"/>
  <c r="K42" i="20"/>
  <c r="AI42" i="20"/>
  <c r="T42" i="20"/>
  <c r="AD42" i="20"/>
  <c r="V42" i="20"/>
  <c r="AH42" i="20"/>
  <c r="S42" i="20"/>
  <c r="W42" i="20"/>
  <c r="AE42" i="20"/>
  <c r="AI29" i="20"/>
  <c r="H42" i="20"/>
  <c r="J42" i="20"/>
  <c r="AF42" i="20"/>
  <c r="AJ29" i="20"/>
  <c r="F42" i="20"/>
  <c r="R42" i="20"/>
  <c r="Y32" i="20"/>
  <c r="Y33" i="20" s="1"/>
  <c r="M32" i="20"/>
  <c r="M33" i="20" s="1"/>
  <c r="Y29" i="20"/>
  <c r="M29" i="20"/>
  <c r="X32" i="20"/>
  <c r="X33" i="20" s="1"/>
  <c r="L32" i="20"/>
  <c r="L33" i="20" s="1"/>
  <c r="X29" i="20"/>
  <c r="L29" i="20"/>
  <c r="AF32" i="20"/>
  <c r="AF33" i="20" s="1"/>
  <c r="T32" i="20"/>
  <c r="T33" i="20" s="1"/>
  <c r="H32" i="20"/>
  <c r="H33" i="20" s="1"/>
  <c r="AF29" i="20"/>
  <c r="T29" i="20"/>
  <c r="H29" i="20"/>
  <c r="AD32" i="20"/>
  <c r="AD33" i="20" s="1"/>
  <c r="R29" i="20"/>
  <c r="E29" i="20"/>
  <c r="P32" i="20"/>
  <c r="P33" i="20" s="1"/>
  <c r="AB29" i="20"/>
  <c r="O29" i="20"/>
  <c r="W32" i="20"/>
  <c r="W33" i="20" s="1"/>
  <c r="K32" i="20"/>
  <c r="K33" i="20" s="1"/>
  <c r="W29" i="20"/>
  <c r="K29" i="20"/>
  <c r="I29" i="20"/>
  <c r="O32" i="20"/>
  <c r="O33" i="20" s="1"/>
  <c r="AA29" i="20"/>
  <c r="N32" i="20"/>
  <c r="N33" i="20" s="1"/>
  <c r="Z29" i="20"/>
  <c r="N29" i="20"/>
  <c r="V32" i="20"/>
  <c r="V33" i="20" s="1"/>
  <c r="J32" i="20"/>
  <c r="J33" i="20" s="1"/>
  <c r="V29" i="20"/>
  <c r="J29" i="20"/>
  <c r="AG32" i="20"/>
  <c r="AG33" i="20" s="1"/>
  <c r="U32" i="20"/>
  <c r="U33" i="20" s="1"/>
  <c r="I32" i="20"/>
  <c r="I33" i="20" s="1"/>
  <c r="AG29" i="20"/>
  <c r="U29" i="20"/>
  <c r="AD29" i="20"/>
  <c r="AC32" i="20"/>
  <c r="E32" i="20"/>
  <c r="E33" i="20" s="1"/>
  <c r="AC29" i="20"/>
  <c r="AB32" i="20"/>
  <c r="AB33" i="20" s="1"/>
  <c r="P29" i="20"/>
  <c r="AE32" i="20"/>
  <c r="AE33" i="20" s="1"/>
  <c r="S32" i="20"/>
  <c r="S33" i="20" s="1"/>
  <c r="G32" i="20"/>
  <c r="G33" i="20" s="1"/>
  <c r="AE29" i="20"/>
  <c r="S29" i="20"/>
  <c r="G29" i="20"/>
  <c r="R32" i="20"/>
  <c r="R33" i="20" s="1"/>
  <c r="F32" i="20"/>
  <c r="F33" i="20" s="1"/>
  <c r="F29" i="20"/>
  <c r="Q32" i="20"/>
  <c r="Q33" i="20" s="1"/>
  <c r="Q29" i="20"/>
  <c r="AA32" i="20"/>
  <c r="AA33" i="20" s="1"/>
  <c r="Z32" i="20"/>
  <c r="Z33" i="20" s="1"/>
  <c r="AH25" i="20"/>
  <c r="AJ25" i="20"/>
  <c r="AI25" i="20"/>
  <c r="S38" i="20"/>
  <c r="S39" i="20" s="1"/>
  <c r="AA38" i="20"/>
  <c r="AA39" i="20" s="1"/>
  <c r="X38" i="20"/>
  <c r="X39" i="20" s="1"/>
  <c r="U38" i="20"/>
  <c r="U39" i="20" s="1"/>
  <c r="AF38" i="20"/>
  <c r="AF39" i="20" s="1"/>
  <c r="Y38" i="20"/>
  <c r="Y39" i="20" s="1"/>
  <c r="AG38" i="20"/>
  <c r="AG39" i="20" s="1"/>
  <c r="T38" i="20"/>
  <c r="T39" i="20" s="1"/>
  <c r="Z38" i="20"/>
  <c r="Z39" i="20" s="1"/>
  <c r="H38" i="20"/>
  <c r="H39" i="20" s="1"/>
  <c r="AH38" i="20"/>
  <c r="AH39" i="20" s="1"/>
  <c r="AE38" i="20"/>
  <c r="AE39" i="20" s="1"/>
  <c r="Q38" i="20"/>
  <c r="Q39" i="20" s="1"/>
  <c r="R38" i="20"/>
  <c r="R39" i="20" s="1"/>
  <c r="AD38" i="20"/>
  <c r="AD39" i="20" s="1"/>
  <c r="V38" i="20"/>
  <c r="V39" i="20" s="1"/>
  <c r="O38" i="20"/>
  <c r="O39" i="20" s="1"/>
  <c r="L38" i="20"/>
  <c r="M38" i="20"/>
  <c r="M39" i="20" s="1"/>
  <c r="I38" i="20"/>
  <c r="I39" i="20" s="1"/>
  <c r="F38" i="20"/>
  <c r="F39" i="20" s="1"/>
  <c r="E38" i="20"/>
  <c r="E39" i="20" s="1"/>
  <c r="AJ38" i="20"/>
  <c r="AJ39" i="20" s="1"/>
  <c r="AB38" i="20"/>
  <c r="AB39" i="20" s="1"/>
  <c r="AC38" i="20"/>
  <c r="AC39" i="20" s="1"/>
  <c r="K38" i="20"/>
  <c r="K39" i="20" s="1"/>
  <c r="P38" i="20"/>
  <c r="P39" i="20" s="1"/>
  <c r="N38" i="20"/>
  <c r="N39" i="20" s="1"/>
  <c r="G38" i="20"/>
  <c r="G39" i="20" s="1"/>
  <c r="W38" i="20"/>
  <c r="W39" i="20" s="1"/>
  <c r="AI38" i="20"/>
  <c r="AI39" i="20" s="1"/>
  <c r="J38" i="20"/>
  <c r="J39" i="20" s="1"/>
  <c r="AE25" i="20"/>
  <c r="S25" i="20"/>
  <c r="G25" i="20"/>
  <c r="AD25" i="20"/>
  <c r="R25" i="20"/>
  <c r="F25" i="20"/>
  <c r="Z25" i="20"/>
  <c r="N25" i="20"/>
  <c r="L25" i="20"/>
  <c r="U25" i="20"/>
  <c r="AC25" i="20"/>
  <c r="Q25" i="20"/>
  <c r="E25" i="20"/>
  <c r="J25" i="20"/>
  <c r="AG25" i="20"/>
  <c r="I25" i="20"/>
  <c r="T25" i="20"/>
  <c r="H25" i="20"/>
  <c r="AB25" i="20"/>
  <c r="P25" i="20"/>
  <c r="AA25" i="20"/>
  <c r="O25" i="20"/>
  <c r="X25" i="20"/>
  <c r="W25" i="20"/>
  <c r="V25" i="20"/>
  <c r="Y25" i="20"/>
  <c r="M25" i="20"/>
  <c r="K25" i="20"/>
  <c r="AF25" i="20"/>
  <c r="AQ24" i="49"/>
  <c r="AQ21" i="49"/>
  <c r="AS24" i="49"/>
  <c r="AS21" i="49"/>
  <c r="AQ25" i="49"/>
  <c r="AQ30" i="49"/>
  <c r="AS30" i="49"/>
  <c r="AC33" i="20" l="1"/>
  <c r="H43" i="20"/>
  <c r="H46" i="20"/>
  <c r="H47" i="20" s="1"/>
  <c r="AC46" i="20"/>
  <c r="AC47" i="20" s="1"/>
  <c r="AC43" i="20"/>
  <c r="S46" i="20"/>
  <c r="S47" i="20" s="1"/>
  <c r="S43" i="20"/>
  <c r="E46" i="20"/>
  <c r="E47" i="20" s="1"/>
  <c r="E43" i="20"/>
  <c r="N43" i="20"/>
  <c r="N46" i="20"/>
  <c r="N47" i="20" s="1"/>
  <c r="AE46" i="20"/>
  <c r="AE47" i="20" s="1"/>
  <c r="AE43" i="20"/>
  <c r="D42" i="20"/>
  <c r="AK42" i="20" s="1"/>
  <c r="AK14" i="20"/>
  <c r="D18" i="20"/>
  <c r="D15" i="20"/>
  <c r="W46" i="20"/>
  <c r="W47" i="20" s="1"/>
  <c r="W43" i="20"/>
  <c r="AH46" i="20"/>
  <c r="AH47" i="20" s="1"/>
  <c r="AH43" i="20"/>
  <c r="Q46" i="20"/>
  <c r="Q47" i="20" s="1"/>
  <c r="Q43" i="20"/>
  <c r="Y46" i="20"/>
  <c r="Y47" i="20" s="1"/>
  <c r="Y43" i="20"/>
  <c r="R46" i="20"/>
  <c r="R47" i="20" s="1"/>
  <c r="R43" i="20"/>
  <c r="U46" i="20"/>
  <c r="U47" i="20" s="1"/>
  <c r="U43" i="20"/>
  <c r="V46" i="20"/>
  <c r="V47" i="20" s="1"/>
  <c r="V43" i="20"/>
  <c r="AB46" i="20"/>
  <c r="AB47" i="20" s="1"/>
  <c r="AB43" i="20"/>
  <c r="Z46" i="20"/>
  <c r="Z47" i="20" s="1"/>
  <c r="Z43" i="20"/>
  <c r="AD46" i="20"/>
  <c r="AD47" i="20" s="1"/>
  <c r="AD43" i="20"/>
  <c r="I46" i="20"/>
  <c r="I47" i="20" s="1"/>
  <c r="I43" i="20"/>
  <c r="AA46" i="20"/>
  <c r="AA47" i="20" s="1"/>
  <c r="AA43" i="20"/>
  <c r="AK24" i="20"/>
  <c r="AK25" i="20" s="1"/>
  <c r="D38" i="20"/>
  <c r="D25" i="20"/>
  <c r="F46" i="20"/>
  <c r="F47" i="20" s="1"/>
  <c r="F43" i="20"/>
  <c r="T46" i="20"/>
  <c r="T47" i="20" s="1"/>
  <c r="T43" i="20"/>
  <c r="P46" i="20"/>
  <c r="P47" i="20" s="1"/>
  <c r="P43" i="20"/>
  <c r="AJ46" i="20"/>
  <c r="AJ47" i="20" s="1"/>
  <c r="AJ43" i="20"/>
  <c r="G43" i="20"/>
  <c r="G46" i="20"/>
  <c r="G47" i="20" s="1"/>
  <c r="AF46" i="20"/>
  <c r="AF47" i="20" s="1"/>
  <c r="AF43" i="20"/>
  <c r="K46" i="20"/>
  <c r="K47" i="20" s="1"/>
  <c r="K43" i="20"/>
  <c r="X46" i="20"/>
  <c r="X47" i="20" s="1"/>
  <c r="X43" i="20"/>
  <c r="AI46" i="20"/>
  <c r="AI47" i="20" s="1"/>
  <c r="AI43" i="20"/>
  <c r="M46" i="20"/>
  <c r="M47" i="20" s="1"/>
  <c r="M43" i="20"/>
  <c r="AK28" i="20"/>
  <c r="AK29" i="20" s="1"/>
  <c r="D29" i="20"/>
  <c r="D32" i="20"/>
  <c r="AK32" i="20" s="1"/>
  <c r="AK33" i="20" s="1"/>
  <c r="L46" i="20"/>
  <c r="L47" i="20" s="1"/>
  <c r="L39" i="20"/>
  <c r="J46" i="20"/>
  <c r="J47" i="20" s="1"/>
  <c r="J43" i="20"/>
  <c r="AG46" i="20"/>
  <c r="AG47" i="20" s="1"/>
  <c r="AG43" i="20"/>
  <c r="O46" i="20"/>
  <c r="O47" i="20" s="1"/>
  <c r="O43" i="20"/>
  <c r="AK10" i="20"/>
  <c r="D11" i="20"/>
  <c r="AQ33" i="49"/>
  <c r="AS33" i="49"/>
  <c r="D33" i="20" l="1"/>
  <c r="AK38" i="20"/>
  <c r="D39" i="20"/>
  <c r="C12" i="23" s="1" a="1"/>
  <c r="E53" i="20"/>
  <c r="AK11" i="20"/>
  <c r="D43" i="20"/>
  <c r="K12" i="23" s="1" a="1"/>
  <c r="D46" i="20"/>
  <c r="L54" i="20"/>
  <c r="AK43" i="20"/>
  <c r="AK18" i="20"/>
  <c r="AK19" i="20" s="1"/>
  <c r="D19" i="20"/>
  <c r="E54" i="20"/>
  <c r="AK15" i="20"/>
  <c r="AO25" i="49"/>
  <c r="AO24" i="49"/>
  <c r="AO21" i="49"/>
  <c r="AM30" i="49"/>
  <c r="AO30" i="49"/>
  <c r="AM25" i="49"/>
  <c r="AM24" i="49"/>
  <c r="Q24" i="23" l="1"/>
  <c r="Q12" i="23" s="1"/>
  <c r="Q17" i="23"/>
  <c r="Q23" i="23"/>
  <c r="Q28" i="23"/>
  <c r="Q20" i="23"/>
  <c r="Q32" i="23"/>
  <c r="Q22" i="23"/>
  <c r="Q31" i="23"/>
  <c r="Q33" i="23"/>
  <c r="Q34" i="23"/>
  <c r="Q26" i="23"/>
  <c r="Q16" i="23"/>
  <c r="Q29" i="23"/>
  <c r="Q15" i="23"/>
  <c r="Q30" i="23"/>
  <c r="Q14" i="23"/>
  <c r="Q13" i="23"/>
  <c r="Q19" i="23"/>
  <c r="Q25" i="23"/>
  <c r="Q27" i="23"/>
  <c r="Q18" i="23"/>
  <c r="Q21" i="23"/>
  <c r="S42" i="23"/>
  <c r="S43" i="23"/>
  <c r="S44" i="23"/>
  <c r="AK46" i="20"/>
  <c r="AK47" i="20" s="1"/>
  <c r="D47" i="20"/>
  <c r="L53" i="20"/>
  <c r="AK39" i="20"/>
  <c r="AM21" i="49"/>
  <c r="Q46" i="23" l="1"/>
  <c r="AO16" i="49"/>
  <c r="AO33" i="49" s="1"/>
  <c r="AM33" i="49"/>
  <c r="AD9" i="54" l="1"/>
  <c r="AD16" i="54"/>
  <c r="U31" i="53"/>
  <c r="U51" i="53"/>
  <c r="U67" i="53"/>
  <c r="U82" i="53"/>
  <c r="W4" i="53"/>
  <c r="X4" i="53"/>
  <c r="V4" i="53"/>
  <c r="AD18" i="54" l="1"/>
  <c r="AD23" i="54" s="1"/>
  <c r="U69" i="53"/>
  <c r="U84" i="53" s="1"/>
  <c r="AG30" i="49" l="1"/>
  <c r="AG33" i="49" s="1"/>
  <c r="AG34" i="49" s="1"/>
  <c r="AG25" i="49" l="1"/>
  <c r="AG24" i="49"/>
  <c r="AC13" i="49"/>
  <c r="AE11" i="49"/>
  <c r="AE13" i="49" s="1"/>
  <c r="AG13" i="49"/>
  <c r="AC12" i="49"/>
  <c r="AE12" i="49" l="1"/>
  <c r="AG12" i="49"/>
  <c r="AG21" i="49" l="1"/>
  <c r="R75" i="56" l="1"/>
  <c r="Q75" i="56"/>
  <c r="P75" i="56"/>
  <c r="O75" i="56"/>
  <c r="N75" i="56"/>
  <c r="M75" i="56"/>
  <c r="L75" i="56"/>
  <c r="K75" i="56"/>
  <c r="J75" i="56"/>
  <c r="I75" i="56"/>
  <c r="H75" i="56"/>
  <c r="G75" i="56"/>
  <c r="F75" i="56"/>
  <c r="AC75" i="56"/>
  <c r="AB75" i="56"/>
  <c r="Z66" i="56"/>
  <c r="AD64" i="56"/>
  <c r="AA64" i="56"/>
  <c r="Y64" i="56"/>
  <c r="X64" i="56"/>
  <c r="W64" i="56"/>
  <c r="U64" i="56"/>
  <c r="R64" i="56"/>
  <c r="Z62" i="56"/>
  <c r="V62" i="56"/>
  <c r="S62" i="56"/>
  <c r="S64" i="56" s="1"/>
  <c r="Q62" i="56"/>
  <c r="Q64" i="56" s="1"/>
  <c r="P62" i="56"/>
  <c r="O62" i="56"/>
  <c r="Z60" i="56"/>
  <c r="Z59" i="56"/>
  <c r="Z58" i="56"/>
  <c r="I58" i="56"/>
  <c r="H58" i="56"/>
  <c r="G58" i="56"/>
  <c r="Z57" i="56"/>
  <c r="Z56" i="56"/>
  <c r="Z55" i="56"/>
  <c r="Z54" i="56"/>
  <c r="V54" i="56"/>
  <c r="T54" i="56"/>
  <c r="T64" i="56" s="1"/>
  <c r="G54" i="56"/>
  <c r="AD49" i="56"/>
  <c r="AA49" i="56"/>
  <c r="Y49" i="56"/>
  <c r="X49" i="56"/>
  <c r="W49" i="56"/>
  <c r="V49" i="56"/>
  <c r="U49" i="56"/>
  <c r="Z47" i="56"/>
  <c r="T47" i="56"/>
  <c r="T49" i="56" s="1"/>
  <c r="S47" i="56"/>
  <c r="S49" i="56" s="1"/>
  <c r="R47" i="56"/>
  <c r="R76" i="56" s="1"/>
  <c r="L47" i="56"/>
  <c r="L76" i="56" s="1"/>
  <c r="G47" i="56"/>
  <c r="F47" i="56"/>
  <c r="Z46" i="56"/>
  <c r="Z45" i="56"/>
  <c r="AD41" i="56"/>
  <c r="AD76" i="56" s="1"/>
  <c r="Z39" i="56"/>
  <c r="Z36" i="56"/>
  <c r="Z35" i="56"/>
  <c r="Z33" i="56"/>
  <c r="F33" i="56"/>
  <c r="Z32" i="56"/>
  <c r="Z31" i="56"/>
  <c r="Z30" i="56"/>
  <c r="Z25" i="56"/>
  <c r="Z24" i="56"/>
  <c r="Z23" i="56"/>
  <c r="Q18" i="56"/>
  <c r="P18" i="56"/>
  <c r="L18" i="56"/>
  <c r="K18" i="56"/>
  <c r="G18" i="56"/>
  <c r="F18" i="56"/>
  <c r="Y12" i="56"/>
  <c r="Y41" i="56" s="1"/>
  <c r="Y76" i="56" s="1"/>
  <c r="X12" i="56"/>
  <c r="X41" i="56" s="1"/>
  <c r="X76" i="56" s="1"/>
  <c r="W12" i="56"/>
  <c r="W41" i="56" s="1"/>
  <c r="W76" i="56" s="1"/>
  <c r="V12" i="56"/>
  <c r="V41" i="56" s="1"/>
  <c r="V76" i="56" s="1"/>
  <c r="U12" i="56"/>
  <c r="U41" i="56" s="1"/>
  <c r="U76" i="56" s="1"/>
  <c r="T12" i="56"/>
  <c r="T41" i="56" s="1"/>
  <c r="T76" i="56" s="1"/>
  <c r="S12" i="56"/>
  <c r="S41" i="56" s="1"/>
  <c r="S76" i="56" s="1"/>
  <c r="R12" i="56"/>
  <c r="Q12" i="56"/>
  <c r="P12" i="56"/>
  <c r="O12" i="56"/>
  <c r="N12" i="56"/>
  <c r="M12" i="56"/>
  <c r="L12" i="56"/>
  <c r="K12" i="56"/>
  <c r="J12" i="56"/>
  <c r="I12" i="56"/>
  <c r="H12" i="56"/>
  <c r="G12" i="56"/>
  <c r="F12" i="56"/>
  <c r="AA41" i="56"/>
  <c r="AA76" i="56" s="1"/>
  <c r="U12" i="55"/>
  <c r="AA70" i="55"/>
  <c r="Z70" i="55"/>
  <c r="Y70" i="55"/>
  <c r="X70" i="55"/>
  <c r="W70" i="55"/>
  <c r="V70" i="55"/>
  <c r="U70" i="55"/>
  <c r="T70" i="55"/>
  <c r="AD70" i="55"/>
  <c r="AD61" i="55"/>
  <c r="AC61" i="55"/>
  <c r="AA61" i="55"/>
  <c r="Z61" i="55"/>
  <c r="Y61" i="55"/>
  <c r="X61" i="55"/>
  <c r="W61" i="55"/>
  <c r="V61" i="55"/>
  <c r="U61" i="55"/>
  <c r="T61" i="55"/>
  <c r="AB49" i="55"/>
  <c r="AB48" i="55"/>
  <c r="AB47" i="55"/>
  <c r="AB41" i="55"/>
  <c r="V39" i="55"/>
  <c r="U39" i="55"/>
  <c r="U44" i="55" s="1"/>
  <c r="T39" i="55"/>
  <c r="T44" i="55" s="1"/>
  <c r="AD37" i="55"/>
  <c r="AC37" i="55"/>
  <c r="AB37" i="55"/>
  <c r="AA37" i="55"/>
  <c r="Z37" i="55"/>
  <c r="Y37" i="55"/>
  <c r="X37" i="55"/>
  <c r="W37" i="55"/>
  <c r="AD21" i="55"/>
  <c r="AC20" i="55"/>
  <c r="AB20" i="55"/>
  <c r="Z20" i="55"/>
  <c r="X20" i="55"/>
  <c r="W20" i="55"/>
  <c r="V20" i="55"/>
  <c r="T20" i="55"/>
  <c r="S20" i="55"/>
  <c r="R20" i="55"/>
  <c r="AC19" i="55"/>
  <c r="AB19" i="55"/>
  <c r="Z19" i="55"/>
  <c r="X19" i="55"/>
  <c r="W19" i="55"/>
  <c r="V19" i="55"/>
  <c r="T19" i="55"/>
  <c r="S19" i="55"/>
  <c r="R19" i="55"/>
  <c r="AB17" i="55"/>
  <c r="Y17" i="55"/>
  <c r="X17" i="55"/>
  <c r="AD20" i="55"/>
  <c r="U15" i="55"/>
  <c r="U20" i="55" s="1"/>
  <c r="AD19" i="55"/>
  <c r="AA14" i="55"/>
  <c r="U14" i="55"/>
  <c r="U19" i="55" s="1"/>
  <c r="Y9" i="55"/>
  <c r="Z9" i="55" s="1"/>
  <c r="AD8" i="55"/>
  <c r="AD12" i="55" s="1"/>
  <c r="AC8" i="55"/>
  <c r="AC12" i="55" s="1"/>
  <c r="AC22" i="55" s="1"/>
  <c r="AB8" i="55"/>
  <c r="AB12" i="55" s="1"/>
  <c r="AA8" i="55"/>
  <c r="Z8" i="55"/>
  <c r="Y8" i="55"/>
  <c r="X8" i="55"/>
  <c r="X12" i="55" s="1"/>
  <c r="W8" i="55"/>
  <c r="W12" i="55" s="1"/>
  <c r="W22" i="55" s="1"/>
  <c r="V8" i="55"/>
  <c r="V12" i="55" s="1"/>
  <c r="T8" i="55"/>
  <c r="T12" i="55" s="1"/>
  <c r="AC16" i="54"/>
  <c r="AA16" i="54"/>
  <c r="Z16" i="54"/>
  <c r="Y16" i="54"/>
  <c r="X16" i="54"/>
  <c r="W16" i="54"/>
  <c r="V16" i="54"/>
  <c r="U16" i="54"/>
  <c r="T16" i="54"/>
  <c r="AB14" i="54"/>
  <c r="AB13" i="54"/>
  <c r="AB12" i="54"/>
  <c r="AC9" i="54"/>
  <c r="AA9" i="54"/>
  <c r="Z9" i="54"/>
  <c r="Y9" i="54"/>
  <c r="X9" i="54"/>
  <c r="W9" i="54"/>
  <c r="V9" i="54"/>
  <c r="U9" i="54"/>
  <c r="T9" i="54"/>
  <c r="AB7" i="54"/>
  <c r="AB6" i="54"/>
  <c r="M86" i="53"/>
  <c r="L86" i="53"/>
  <c r="K86" i="53"/>
  <c r="J86" i="53"/>
  <c r="I86" i="53"/>
  <c r="H86" i="53"/>
  <c r="G86" i="53"/>
  <c r="F86" i="53"/>
  <c r="T82" i="53"/>
  <c r="S82" i="53"/>
  <c r="R82" i="53"/>
  <c r="Q82" i="53"/>
  <c r="P82" i="53"/>
  <c r="O82" i="53"/>
  <c r="T67" i="53"/>
  <c r="S67" i="53"/>
  <c r="R67" i="53"/>
  <c r="Q67" i="53"/>
  <c r="P67" i="53"/>
  <c r="O67" i="53"/>
  <c r="N67" i="53"/>
  <c r="M67" i="53"/>
  <c r="L67" i="53"/>
  <c r="K67" i="53"/>
  <c r="J67" i="53"/>
  <c r="I67" i="53"/>
  <c r="H67" i="53"/>
  <c r="G67" i="53"/>
  <c r="F67" i="53"/>
  <c r="T51" i="53"/>
  <c r="S51" i="53"/>
  <c r="R51" i="53"/>
  <c r="Q51" i="53"/>
  <c r="P51" i="53"/>
  <c r="O51" i="53"/>
  <c r="T31" i="53"/>
  <c r="S31" i="53"/>
  <c r="R31" i="53"/>
  <c r="Q31" i="53"/>
  <c r="P31" i="53"/>
  <c r="O31" i="53"/>
  <c r="N31" i="53"/>
  <c r="U18" i="53"/>
  <c r="U33" i="53" s="1"/>
  <c r="U88" i="53" s="1"/>
  <c r="T18" i="53"/>
  <c r="S18" i="53"/>
  <c r="R18" i="53"/>
  <c r="Q18" i="53"/>
  <c r="P18" i="53"/>
  <c r="O18" i="53"/>
  <c r="N18" i="53"/>
  <c r="A27" i="52"/>
  <c r="S33" i="53" l="1"/>
  <c r="R33" i="53"/>
  <c r="P33" i="53"/>
  <c r="N33" i="53"/>
  <c r="O33" i="53"/>
  <c r="X18" i="54"/>
  <c r="X23" i="54" s="1"/>
  <c r="V64" i="56"/>
  <c r="V68" i="56" s="1"/>
  <c r="V75" i="56" s="1"/>
  <c r="Z18" i="54"/>
  <c r="Z23" i="54" s="1"/>
  <c r="AC18" i="54"/>
  <c r="W18" i="54"/>
  <c r="W23" i="54" s="1"/>
  <c r="AB16" i="54"/>
  <c r="V18" i="54"/>
  <c r="V23" i="54" s="1"/>
  <c r="Z64" i="56"/>
  <c r="AA18" i="54"/>
  <c r="AA23" i="54" s="1"/>
  <c r="U18" i="54"/>
  <c r="U23" i="54" s="1"/>
  <c r="Q33" i="53"/>
  <c r="O69" i="53"/>
  <c r="O84" i="53" s="1"/>
  <c r="O88" i="53" s="1"/>
  <c r="U63" i="55"/>
  <c r="U72" i="55" s="1"/>
  <c r="T63" i="55"/>
  <c r="T72" i="55" s="1"/>
  <c r="AB22" i="55"/>
  <c r="AB39" i="55" s="1"/>
  <c r="AB44" i="55" s="1"/>
  <c r="S69" i="53"/>
  <c r="S84" i="53" s="1"/>
  <c r="T68" i="56"/>
  <c r="T75" i="56" s="1"/>
  <c r="AD68" i="56"/>
  <c r="AD75" i="56" s="1"/>
  <c r="Y68" i="56"/>
  <c r="Y75" i="56" s="1"/>
  <c r="U68" i="56"/>
  <c r="Z41" i="56"/>
  <c r="Z76" i="56" s="1"/>
  <c r="Z49" i="56"/>
  <c r="W68" i="56"/>
  <c r="W75" i="56" s="1"/>
  <c r="X68" i="56"/>
  <c r="X75" i="56" s="1"/>
  <c r="S68" i="56"/>
  <c r="S75" i="56" s="1"/>
  <c r="AA68" i="56"/>
  <c r="AA75" i="56" s="1"/>
  <c r="Y12" i="55"/>
  <c r="Y22" i="55" s="1"/>
  <c r="Y39" i="55" s="1"/>
  <c r="Y44" i="55" s="1"/>
  <c r="Y63" i="55" s="1"/>
  <c r="Y72" i="55" s="1"/>
  <c r="Z12" i="55"/>
  <c r="Z22" i="55" s="1"/>
  <c r="Z39" i="55" s="1"/>
  <c r="X22" i="55"/>
  <c r="X39" i="55" s="1"/>
  <c r="X44" i="55" s="1"/>
  <c r="AC70" i="55"/>
  <c r="AB61" i="55"/>
  <c r="AB70" i="55"/>
  <c r="AD22" i="55"/>
  <c r="AD39" i="55" s="1"/>
  <c r="AC39" i="55"/>
  <c r="W39" i="55"/>
  <c r="V44" i="55"/>
  <c r="V63" i="55" s="1"/>
  <c r="V72" i="55" s="1"/>
  <c r="AA12" i="55"/>
  <c r="AA15" i="55"/>
  <c r="AA19" i="55"/>
  <c r="AB9" i="54"/>
  <c r="T18" i="54"/>
  <c r="T23" i="54" s="1"/>
  <c r="Y18" i="54"/>
  <c r="Y23" i="54" s="1"/>
  <c r="AC23" i="54"/>
  <c r="T69" i="53"/>
  <c r="T84" i="53" s="1"/>
  <c r="R69" i="53"/>
  <c r="R84" i="53" s="1"/>
  <c r="T33" i="53"/>
  <c r="P69" i="53"/>
  <c r="P84" i="53" s="1"/>
  <c r="Q69" i="53"/>
  <c r="Q84" i="53" s="1"/>
  <c r="Q88" i="53" s="1"/>
  <c r="U32" i="52"/>
  <c r="U28" i="52"/>
  <c r="N86" i="53" l="1"/>
  <c r="N88" i="53"/>
  <c r="S86" i="53"/>
  <c r="S88" i="53"/>
  <c r="P86" i="53"/>
  <c r="P88" i="53"/>
  <c r="R86" i="53"/>
  <c r="R88" i="53"/>
  <c r="T88" i="53"/>
  <c r="O86" i="53"/>
  <c r="S22" i="52"/>
  <c r="U20" i="52"/>
  <c r="Q86" i="53"/>
  <c r="U75" i="56"/>
  <c r="AB18" i="54"/>
  <c r="T86" i="53"/>
  <c r="Z68" i="56"/>
  <c r="Z75" i="56" s="1"/>
  <c r="U86" i="53"/>
  <c r="AB63" i="55"/>
  <c r="AB72" i="55" s="1"/>
  <c r="AA22" i="55"/>
  <c r="AD44" i="55"/>
  <c r="AD63" i="55" s="1"/>
  <c r="AD72" i="55" s="1"/>
  <c r="W44" i="55"/>
  <c r="W63" i="55" s="1"/>
  <c r="W72" i="55" s="1"/>
  <c r="AA20" i="55"/>
  <c r="AC44" i="55"/>
  <c r="AC63" i="55" s="1"/>
  <c r="AC72" i="55" s="1"/>
  <c r="Z44" i="55"/>
  <c r="X63" i="55"/>
  <c r="X72" i="55" s="1"/>
  <c r="AB23" i="54"/>
  <c r="D48" i="52"/>
  <c r="T17" i="52"/>
  <c r="O20" i="52"/>
  <c r="T33" i="52"/>
  <c r="T30" i="52"/>
  <c r="U29" i="52"/>
  <c r="U37" i="52"/>
  <c r="T35" i="52"/>
  <c r="T38" i="52"/>
  <c r="U23" i="52"/>
  <c r="U18" i="52"/>
  <c r="O44" i="52"/>
  <c r="O25" i="52"/>
  <c r="U30" i="52"/>
  <c r="U45" i="52"/>
  <c r="T26" i="52"/>
  <c r="T43" i="52"/>
  <c r="T39" i="52"/>
  <c r="S32" i="52"/>
  <c r="O28" i="52"/>
  <c r="U41" i="52"/>
  <c r="U21" i="52"/>
  <c r="T31" i="52"/>
  <c r="S35" i="52"/>
  <c r="S25" i="52"/>
  <c r="U38" i="52"/>
  <c r="U34" i="52"/>
  <c r="U19" i="52"/>
  <c r="T32" i="52"/>
  <c r="T25" i="52"/>
  <c r="T19" i="52"/>
  <c r="S40" i="52"/>
  <c r="S28" i="52"/>
  <c r="U44" i="52"/>
  <c r="O36" i="52"/>
  <c r="T23" i="52"/>
  <c r="T18" i="52"/>
  <c r="U24" i="52"/>
  <c r="U35" i="52"/>
  <c r="U42" i="52"/>
  <c r="T24" i="52"/>
  <c r="T40" i="52"/>
  <c r="T28" i="52"/>
  <c r="S36" i="52"/>
  <c r="O40" i="52"/>
  <c r="T29" i="52"/>
  <c r="T42" i="52"/>
  <c r="N48" i="52"/>
  <c r="T20" i="52"/>
  <c r="R25" i="52"/>
  <c r="U43" i="52"/>
  <c r="U31" i="52"/>
  <c r="T37" i="52"/>
  <c r="T36" i="52"/>
  <c r="S44" i="52"/>
  <c r="U17" i="52"/>
  <c r="O32" i="52"/>
  <c r="T27" i="52"/>
  <c r="R20" i="52"/>
  <c r="O35" i="52"/>
  <c r="U16" i="52"/>
  <c r="U40" i="52"/>
  <c r="U39" i="52"/>
  <c r="T16" i="52"/>
  <c r="T45" i="52"/>
  <c r="T44" i="52"/>
  <c r="U22" i="52"/>
  <c r="S19" i="52"/>
  <c r="L48" i="52"/>
  <c r="U27" i="52"/>
  <c r="R32" i="52"/>
  <c r="U25" i="52"/>
  <c r="S20" i="52"/>
  <c r="T21" i="52"/>
  <c r="U26" i="52"/>
  <c r="U36" i="52"/>
  <c r="T34" i="52"/>
  <c r="T41" i="52"/>
  <c r="M48" i="52"/>
  <c r="U33" i="52"/>
  <c r="Z63" i="55" l="1"/>
  <c r="Z72" i="55" s="1"/>
  <c r="AA39" i="55"/>
  <c r="H20" i="52"/>
  <c r="R28" i="52"/>
  <c r="V28" i="52" s="1"/>
  <c r="H36" i="52"/>
  <c r="F48" i="52"/>
  <c r="H35" i="52"/>
  <c r="H19" i="52"/>
  <c r="V32" i="52"/>
  <c r="E48" i="52"/>
  <c r="H32" i="52"/>
  <c r="S24" i="52"/>
  <c r="H24" i="52"/>
  <c r="O31" i="52"/>
  <c r="R31" i="52"/>
  <c r="S37" i="52"/>
  <c r="H37" i="52"/>
  <c r="S29" i="52"/>
  <c r="H29" i="52"/>
  <c r="O45" i="52"/>
  <c r="R45" i="52"/>
  <c r="S39" i="52"/>
  <c r="H39" i="52"/>
  <c r="T22" i="52"/>
  <c r="T48" i="52" s="1"/>
  <c r="H22" i="52"/>
  <c r="S21" i="52"/>
  <c r="H21" i="52"/>
  <c r="O42" i="52"/>
  <c r="R42" i="52"/>
  <c r="S17" i="52"/>
  <c r="H17" i="52"/>
  <c r="S38" i="52"/>
  <c r="H38" i="52"/>
  <c r="S18" i="52"/>
  <c r="H18" i="52"/>
  <c r="S31" i="52"/>
  <c r="H31" i="52"/>
  <c r="O26" i="52"/>
  <c r="R26" i="52"/>
  <c r="O16" i="52"/>
  <c r="R16" i="52"/>
  <c r="O21" i="52"/>
  <c r="R21" i="52"/>
  <c r="R44" i="52"/>
  <c r="V44" i="52" s="1"/>
  <c r="G48" i="52"/>
  <c r="U48" i="52"/>
  <c r="O34" i="52"/>
  <c r="R34" i="52"/>
  <c r="R35" i="52"/>
  <c r="V35" i="52" s="1"/>
  <c r="O18" i="52"/>
  <c r="R18" i="52"/>
  <c r="O27" i="52"/>
  <c r="R27" i="52"/>
  <c r="O29" i="52"/>
  <c r="R29" i="52"/>
  <c r="O37" i="52"/>
  <c r="R37" i="52"/>
  <c r="O23" i="52"/>
  <c r="R23" i="52"/>
  <c r="S41" i="52"/>
  <c r="H41" i="52"/>
  <c r="O43" i="52"/>
  <c r="R43" i="52"/>
  <c r="O33" i="52"/>
  <c r="R33" i="52"/>
  <c r="H44" i="52"/>
  <c r="O17" i="52"/>
  <c r="R17" i="52"/>
  <c r="O24" i="52"/>
  <c r="R24" i="52"/>
  <c r="K48" i="52"/>
  <c r="S30" i="52"/>
  <c r="H30" i="52"/>
  <c r="O39" i="52"/>
  <c r="R39" i="52"/>
  <c r="O41" i="52"/>
  <c r="R41" i="52"/>
  <c r="S16" i="52"/>
  <c r="H16" i="52"/>
  <c r="S34" i="52"/>
  <c r="H34" i="52"/>
  <c r="S42" i="52"/>
  <c r="H42" i="52"/>
  <c r="V25" i="52"/>
  <c r="O30" i="52"/>
  <c r="R30" i="52"/>
  <c r="O19" i="52"/>
  <c r="R19" i="52"/>
  <c r="V19" i="52" s="1"/>
  <c r="H40" i="52"/>
  <c r="S26" i="52"/>
  <c r="H26" i="52"/>
  <c r="S45" i="52"/>
  <c r="H45" i="52"/>
  <c r="S43" i="52"/>
  <c r="H43" i="52"/>
  <c r="S33" i="52"/>
  <c r="H33" i="52"/>
  <c r="S23" i="52"/>
  <c r="H23" i="52"/>
  <c r="V20" i="52"/>
  <c r="O22" i="52"/>
  <c r="R22" i="52"/>
  <c r="O38" i="52"/>
  <c r="R38" i="52"/>
  <c r="H25" i="52"/>
  <c r="S27" i="52"/>
  <c r="H27" i="52"/>
  <c r="H28" i="52"/>
  <c r="R36" i="52"/>
  <c r="V36" i="52" s="1"/>
  <c r="R40" i="52"/>
  <c r="V40" i="52" s="1"/>
  <c r="S17" i="29"/>
  <c r="S16" i="29"/>
  <c r="M38" i="29"/>
  <c r="L38" i="29"/>
  <c r="K38" i="29"/>
  <c r="M37" i="29"/>
  <c r="L37" i="29"/>
  <c r="K37" i="29"/>
  <c r="M36" i="29"/>
  <c r="L36" i="29"/>
  <c r="K36" i="29"/>
  <c r="M35" i="29"/>
  <c r="L35" i="29"/>
  <c r="K35" i="29"/>
  <c r="M34" i="29"/>
  <c r="L34" i="29"/>
  <c r="K34" i="29"/>
  <c r="M33" i="29"/>
  <c r="L33" i="29"/>
  <c r="K33" i="29"/>
  <c r="S13" i="29"/>
  <c r="S12" i="29"/>
  <c r="K18" i="29"/>
  <c r="M17" i="29"/>
  <c r="L17" i="29"/>
  <c r="K17" i="29"/>
  <c r="M16" i="29"/>
  <c r="L16" i="29"/>
  <c r="K16" i="29"/>
  <c r="M15" i="29"/>
  <c r="L15" i="29"/>
  <c r="K15" i="29"/>
  <c r="M14" i="29"/>
  <c r="L14" i="29"/>
  <c r="K14" i="29"/>
  <c r="M13" i="29"/>
  <c r="L13" i="29"/>
  <c r="K13" i="29"/>
  <c r="M12" i="29"/>
  <c r="L12" i="29"/>
  <c r="K12" i="29"/>
  <c r="A23" i="23"/>
  <c r="N16" i="28"/>
  <c r="L16" i="28"/>
  <c r="H16" i="28"/>
  <c r="F16" i="28"/>
  <c r="M45" i="29" l="1"/>
  <c r="L45" i="29"/>
  <c r="K45" i="29"/>
  <c r="L24" i="29"/>
  <c r="K24" i="29"/>
  <c r="M24" i="29"/>
  <c r="S14" i="29"/>
  <c r="S18" i="29"/>
  <c r="V22" i="52"/>
  <c r="V38" i="52"/>
  <c r="V17" i="52"/>
  <c r="V37" i="52"/>
  <c r="V24" i="52"/>
  <c r="V21" i="52"/>
  <c r="V30" i="52"/>
  <c r="AA44" i="55"/>
  <c r="V29" i="52"/>
  <c r="V27" i="52"/>
  <c r="V26" i="52"/>
  <c r="V31" i="52"/>
  <c r="V23" i="52"/>
  <c r="V18" i="52"/>
  <c r="H48" i="52"/>
  <c r="R48" i="52"/>
  <c r="V33" i="52"/>
  <c r="V45" i="52"/>
  <c r="V41" i="52"/>
  <c r="V43" i="52"/>
  <c r="O48" i="52"/>
  <c r="V39" i="52"/>
  <c r="S48" i="52"/>
  <c r="V34" i="52"/>
  <c r="V16" i="52"/>
  <c r="V42" i="52"/>
  <c r="D56" i="20" l="1"/>
  <c r="AA63" i="55"/>
  <c r="F53" i="20"/>
  <c r="V48" i="52"/>
  <c r="E56" i="20"/>
  <c r="F54" i="20"/>
  <c r="M54" i="20" l="1"/>
  <c r="M53" i="20"/>
  <c r="AA72" i="55"/>
  <c r="L56" i="20"/>
  <c r="F56" i="20"/>
  <c r="S13" i="23" l="1"/>
  <c r="Y13" i="23" s="1"/>
  <c r="I29" i="23"/>
  <c r="I36" i="23"/>
  <c r="I37" i="23"/>
  <c r="I18" i="23"/>
  <c r="I24" i="23"/>
  <c r="I16" i="23"/>
  <c r="I21" i="23"/>
  <c r="I33" i="23"/>
  <c r="I31" i="23"/>
  <c r="I25" i="23"/>
  <c r="I17" i="23"/>
  <c r="I32" i="23"/>
  <c r="I22" i="23"/>
  <c r="I14" i="23"/>
  <c r="I13" i="23"/>
  <c r="I20" i="23"/>
  <c r="I35" i="23"/>
  <c r="I28" i="23"/>
  <c r="I30" i="23"/>
  <c r="I27" i="23"/>
  <c r="I34" i="23"/>
  <c r="I38" i="23"/>
  <c r="I26" i="23"/>
  <c r="I19" i="23"/>
  <c r="I15" i="23"/>
  <c r="I23" i="23"/>
  <c r="S21" i="23"/>
  <c r="Y21" i="23" s="1"/>
  <c r="S14" i="23"/>
  <c r="Y14" i="23" s="1"/>
  <c r="S27" i="23"/>
  <c r="Y27" i="23" s="1"/>
  <c r="S17" i="23"/>
  <c r="Y17" i="23" s="1"/>
  <c r="S16" i="23"/>
  <c r="Y16" i="23" s="1"/>
  <c r="S26" i="23"/>
  <c r="Y26" i="23" s="1"/>
  <c r="S23" i="23"/>
  <c r="Y23" i="23" s="1"/>
  <c r="S38" i="23"/>
  <c r="Y38" i="23" s="1"/>
  <c r="S34" i="23"/>
  <c r="Y34" i="23" s="1"/>
  <c r="S32" i="23"/>
  <c r="Y32" i="23" s="1"/>
  <c r="S19" i="23"/>
  <c r="Y19" i="23" s="1"/>
  <c r="S29" i="23"/>
  <c r="Y29" i="23" s="1"/>
  <c r="S15" i="23"/>
  <c r="Y15" i="23" s="1"/>
  <c r="S25" i="23"/>
  <c r="Y25" i="23" s="1"/>
  <c r="S35" i="23"/>
  <c r="Y35" i="23" s="1"/>
  <c r="S24" i="23"/>
  <c r="Y24" i="23" s="1"/>
  <c r="S31" i="23"/>
  <c r="Y31" i="23" s="1"/>
  <c r="S37" i="23"/>
  <c r="Y37" i="23" s="1"/>
  <c r="S33" i="23"/>
  <c r="Y33" i="23" s="1"/>
  <c r="S20" i="23"/>
  <c r="Y20" i="23" s="1"/>
  <c r="S39" i="23"/>
  <c r="S41" i="23"/>
  <c r="S28" i="23"/>
  <c r="Y28" i="23" s="1"/>
  <c r="S22" i="23"/>
  <c r="Y22" i="23" s="1"/>
  <c r="S40" i="23"/>
  <c r="S18" i="23"/>
  <c r="Y18" i="23" s="1"/>
  <c r="S36" i="23"/>
  <c r="Y36" i="23" s="1"/>
  <c r="S30" i="23"/>
  <c r="Y30" i="23" s="1"/>
  <c r="K56" i="20"/>
  <c r="M56" i="20"/>
  <c r="S12" i="23" l="1"/>
  <c r="K46" i="23"/>
  <c r="C46" i="23"/>
  <c r="I12" i="23"/>
  <c r="Y12" i="23" l="1"/>
  <c r="Z12" i="23"/>
  <c r="I46" i="23"/>
  <c r="Y46" i="23" s="1"/>
  <c r="S46" i="23"/>
  <c r="AM34" i="49" l="1"/>
  <c r="AO13" i="49" l="1"/>
  <c r="AO12" i="49"/>
  <c r="AO34" i="49"/>
  <c r="AQ34" i="49" l="1"/>
  <c r="AQ13" i="49"/>
  <c r="AQ12" i="49"/>
  <c r="AS12" i="49" l="1"/>
  <c r="AS34" i="49"/>
  <c r="AU25" i="49" l="1"/>
  <c r="AW25" i="49"/>
  <c r="AW24" i="49"/>
  <c r="AU24" i="49"/>
  <c r="AY25" i="49" l="1"/>
  <c r="AY24" i="49"/>
  <c r="BK29" i="49" l="1"/>
  <c r="BK16" i="49" l="1"/>
  <c r="BK28" i="49"/>
  <c r="BK30" i="49"/>
  <c r="BK33" i="49" s="1"/>
  <c r="BK34" i="49" s="1"/>
  <c r="BJ33" i="49" l="1"/>
  <c r="BJ34" i="49" s="1"/>
  <c r="BE33" i="49" l="1"/>
  <c r="BE34" i="49" s="1"/>
  <c r="BG33" i="49" l="1"/>
  <c r="BG34" i="49" s="1"/>
  <c r="AY33" i="49" l="1"/>
  <c r="AY34" i="49" s="1"/>
  <c r="AY12" i="49" l="1"/>
  <c r="AY13" i="49"/>
  <c r="BG13" i="49" l="1"/>
  <c r="BJ13" i="49"/>
  <c r="BK13" i="49"/>
  <c r="BE13" i="49"/>
  <c r="BC13" i="49"/>
  <c r="BA13" i="49"/>
  <c r="BK12" i="49"/>
  <c r="BJ12" i="49"/>
  <c r="BC12" i="49"/>
  <c r="BE12" i="49"/>
  <c r="BG12" i="49"/>
  <c r="BA12" i="49"/>
  <c r="AW33" i="49" l="1"/>
  <c r="AW34" i="49" s="1"/>
  <c r="AW12" i="49" l="1"/>
  <c r="AW13" i="49"/>
  <c r="AU33" i="49" l="1"/>
  <c r="AU34" i="49" s="1"/>
  <c r="AU13" i="49" l="1"/>
  <c r="AU12" i="49"/>
  <c r="AE49" i="56" l="1"/>
  <c r="AF64" i="56"/>
  <c r="AH64" i="56"/>
  <c r="AJ41" i="56"/>
  <c r="AJ76" i="56" s="1"/>
  <c r="AH41" i="56"/>
  <c r="AH76" i="56" s="1"/>
  <c r="AH49" i="56"/>
  <c r="AF41" i="56"/>
  <c r="AF76" i="56" s="1"/>
  <c r="AG64" i="56"/>
  <c r="AF49" i="56"/>
  <c r="AE64" i="56"/>
  <c r="AE41" i="56"/>
  <c r="AE76" i="56" s="1"/>
  <c r="AG41" i="56"/>
  <c r="AG76" i="56" s="1"/>
  <c r="AI64" i="56"/>
  <c r="AG49" i="56"/>
  <c r="AJ64" i="56"/>
  <c r="AI41" i="56"/>
  <c r="AI76" i="56" s="1"/>
  <c r="AI49" i="56"/>
  <c r="AJ49" i="56"/>
  <c r="AI68" i="56" l="1"/>
  <c r="AE68" i="56"/>
  <c r="AG68" i="56"/>
  <c r="AJ68" i="56"/>
  <c r="AH68" i="56"/>
  <c r="AF68" i="56"/>
  <c r="W67" i="53" l="1"/>
  <c r="V18" i="53"/>
  <c r="V67" i="53"/>
  <c r="V31" i="53"/>
  <c r="V33" i="53" s="1"/>
  <c r="W18" i="53"/>
  <c r="W31" i="53"/>
  <c r="V82" i="53" l="1"/>
  <c r="X82" i="53"/>
  <c r="X51" i="53"/>
  <c r="X18" i="53"/>
  <c r="V51" i="53"/>
  <c r="V69" i="53" s="1"/>
  <c r="W82" i="53"/>
  <c r="Y18" i="53"/>
  <c r="Y82" i="53"/>
  <c r="Y31" i="53"/>
  <c r="X31" i="53"/>
  <c r="X33" i="53" s="1"/>
  <c r="W33" i="53"/>
  <c r="X67" i="53"/>
  <c r="X69" i="53" s="1"/>
  <c r="X84" i="53" s="1"/>
  <c r="Y67" i="53"/>
  <c r="W51" i="53"/>
  <c r="W69" i="53" s="1"/>
  <c r="V84" i="53" l="1"/>
  <c r="V88" i="53" s="1"/>
  <c r="Y33" i="53"/>
  <c r="X88" i="53"/>
  <c r="W84" i="53"/>
  <c r="W88" i="53" s="1"/>
  <c r="AF9" i="54" l="1"/>
  <c r="AH29" i="54"/>
  <c r="AI29" i="54"/>
  <c r="AG9" i="54"/>
  <c r="AJ16" i="54" l="1"/>
  <c r="AE16" i="54"/>
  <c r="AH9" i="54"/>
  <c r="AI9" i="54"/>
  <c r="AH16" i="54"/>
  <c r="AG16" i="54"/>
  <c r="AG18" i="54" s="1"/>
  <c r="AG23" i="54" s="1"/>
  <c r="AH18" i="54"/>
  <c r="AH23" i="54" s="1"/>
  <c r="AH31" i="54" s="1"/>
  <c r="AJ29" i="54"/>
  <c r="AI16" i="54"/>
  <c r="AI18" i="54" s="1"/>
  <c r="AI23" i="54" s="1"/>
  <c r="AI31" i="54" s="1"/>
  <c r="AF16" i="54"/>
  <c r="AF18" i="54" s="1"/>
  <c r="AF23" i="54" s="1"/>
  <c r="AE9" i="54"/>
  <c r="AE18" i="54" s="1"/>
  <c r="AE23" i="54" s="1"/>
  <c r="AJ9" i="54"/>
  <c r="AJ18" i="54" s="1"/>
  <c r="AJ23" i="54" s="1"/>
  <c r="AJ31" i="54" s="1"/>
  <c r="BA33" i="49" l="1"/>
  <c r="BA34" i="49" s="1"/>
  <c r="BC33" i="49" l="1"/>
  <c r="BC34" i="49" s="1"/>
  <c r="AT7" i="54" l="1"/>
  <c r="AT13" i="54"/>
  <c r="AQ29" i="54"/>
  <c r="AM29" i="54"/>
  <c r="AT14" i="54"/>
  <c r="AL9" i="54"/>
  <c r="AT21" i="54"/>
  <c r="AT27" i="54"/>
  <c r="AP29" i="54" l="1"/>
  <c r="AQ9" i="54"/>
  <c r="AK29" i="54"/>
  <c r="AO29" i="54"/>
  <c r="AL29" i="54"/>
  <c r="AN29" i="54"/>
  <c r="AK16" i="54"/>
  <c r="AM9" i="54"/>
  <c r="AM18" i="54" s="1"/>
  <c r="AM23" i="54" s="1"/>
  <c r="AM31" i="54" s="1"/>
  <c r="AL16" i="54"/>
  <c r="AL18" i="54" s="1"/>
  <c r="AL23" i="54" s="1"/>
  <c r="AL31" i="54" s="1"/>
  <c r="AP16" i="54"/>
  <c r="AO16" i="54"/>
  <c r="AN16" i="54"/>
  <c r="AM16" i="54"/>
  <c r="AS29" i="54"/>
  <c r="AT26" i="54"/>
  <c r="AT29" i="54" s="1"/>
  <c r="AP9" i="54"/>
  <c r="AS9" i="54"/>
  <c r="AT6" i="54"/>
  <c r="AT9" i="54" s="1"/>
  <c r="AK9" i="54"/>
  <c r="AK18" i="54" s="1"/>
  <c r="AK23" i="54" s="1"/>
  <c r="AK31" i="54" s="1"/>
  <c r="AO9" i="54"/>
  <c r="AT12" i="54"/>
  <c r="AT16" i="54" s="1"/>
  <c r="AS16" i="54"/>
  <c r="AQ16" i="54"/>
  <c r="AQ18" i="54" s="1"/>
  <c r="AQ23" i="54" s="1"/>
  <c r="AQ31" i="54" s="1"/>
  <c r="AN9" i="54"/>
  <c r="AN18" i="54" s="1"/>
  <c r="AN23" i="54" s="1"/>
  <c r="AP18" i="54" l="1"/>
  <c r="AP23" i="54" s="1"/>
  <c r="AP31" i="54" s="1"/>
  <c r="AN31" i="54"/>
  <c r="AS18" i="54"/>
  <c r="AS23" i="54" s="1"/>
  <c r="AS31" i="54" s="1"/>
  <c r="AT18" i="54"/>
  <c r="AT23" i="54" s="1"/>
  <c r="AT31" i="54" s="1"/>
  <c r="AO18" i="54"/>
  <c r="AO23" i="54" s="1"/>
  <c r="AO31" i="54" s="1"/>
  <c r="AT20" i="55" l="1"/>
  <c r="AL57" i="55"/>
  <c r="AK57" i="55"/>
  <c r="AP57" i="55"/>
  <c r="AN54" i="55"/>
  <c r="AE54" i="55"/>
  <c r="AT33" i="55"/>
  <c r="AT35" i="55"/>
  <c r="AT14" i="55"/>
  <c r="AT7" i="55"/>
  <c r="AT28" i="55"/>
  <c r="AN57" i="55"/>
  <c r="AL54" i="55"/>
  <c r="AJ54" i="55"/>
  <c r="AT30" i="55"/>
  <c r="AJ57" i="55"/>
  <c r="AT31" i="55"/>
  <c r="AI54" i="55"/>
  <c r="AT32" i="55"/>
  <c r="AT26" i="55"/>
  <c r="AM57" i="55"/>
  <c r="AT29" i="55"/>
  <c r="AL12" i="55"/>
  <c r="AF57" i="55"/>
  <c r="AT21" i="55"/>
  <c r="AI57" i="55"/>
  <c r="AE57" i="55"/>
  <c r="AF12" i="55"/>
  <c r="AT34" i="55"/>
  <c r="AT47" i="55"/>
  <c r="AM54" i="55"/>
  <c r="AT27" i="55"/>
  <c r="AO54" i="55"/>
  <c r="AF54" i="55"/>
  <c r="AT48" i="55"/>
  <c r="AT17" i="55"/>
  <c r="AT16" i="55"/>
  <c r="AQ57" i="55"/>
  <c r="AT49" i="55"/>
  <c r="AT9" i="55"/>
  <c r="AT41" i="55"/>
  <c r="AT15" i="55"/>
  <c r="AT10" i="55"/>
  <c r="AQ54" i="55"/>
  <c r="AT42" i="55"/>
  <c r="AP54" i="55"/>
  <c r="AF61" i="55"/>
  <c r="AK54" i="55"/>
  <c r="AO57" i="55"/>
  <c r="AO19" i="55" l="1"/>
  <c r="AO22" i="55" s="1"/>
  <c r="AI61" i="55"/>
  <c r="AL19" i="55"/>
  <c r="AL22" i="55" s="1"/>
  <c r="AE37" i="55"/>
  <c r="AN19" i="55"/>
  <c r="AN22" i="55" s="1"/>
  <c r="AJ61" i="55"/>
  <c r="AS61" i="55"/>
  <c r="AH22" i="55"/>
  <c r="AN37" i="55"/>
  <c r="AQ61" i="55"/>
  <c r="AT8" i="55"/>
  <c r="AT12" i="55" s="1"/>
  <c r="AS12" i="55"/>
  <c r="AS22" i="55" s="1"/>
  <c r="AM19" i="55"/>
  <c r="AM22" i="55" s="1"/>
  <c r="AL37" i="55"/>
  <c r="AN61" i="55"/>
  <c r="AS37" i="55"/>
  <c r="AT25" i="55"/>
  <c r="AT37" i="55" s="1"/>
  <c r="AO37" i="55"/>
  <c r="AO39" i="55" s="1"/>
  <c r="AO44" i="55" s="1"/>
  <c r="AE22" i="55"/>
  <c r="AJ12" i="55"/>
  <c r="AF37" i="55"/>
  <c r="AM61" i="55"/>
  <c r="AT6" i="55"/>
  <c r="AS19" i="55"/>
  <c r="AT19" i="55" s="1"/>
  <c r="AJ19" i="55"/>
  <c r="AJ22" i="55" s="1"/>
  <c r="AM12" i="55"/>
  <c r="AT53" i="55"/>
  <c r="AS54" i="55"/>
  <c r="AT54" i="55" s="1"/>
  <c r="AP19" i="55"/>
  <c r="AJ37" i="55"/>
  <c r="AH37" i="55"/>
  <c r="AQ12" i="55"/>
  <c r="AQ22" i="55" s="1"/>
  <c r="AO12" i="55"/>
  <c r="AI37" i="55"/>
  <c r="AT61" i="55"/>
  <c r="AT22" i="55"/>
  <c r="AT56" i="55"/>
  <c r="AS57" i="55"/>
  <c r="AT57" i="55" s="1"/>
  <c r="AP12" i="55"/>
  <c r="AP22" i="55" s="1"/>
  <c r="AL61" i="55"/>
  <c r="AO61" i="55"/>
  <c r="AK12" i="55"/>
  <c r="AE12" i="55"/>
  <c r="AI22" i="55"/>
  <c r="AQ37" i="55"/>
  <c r="AF22" i="55"/>
  <c r="AN12" i="55"/>
  <c r="AP37" i="55"/>
  <c r="AI12" i="55"/>
  <c r="AP61" i="55"/>
  <c r="AK61" i="55"/>
  <c r="AE61" i="55"/>
  <c r="AQ19" i="55"/>
  <c r="AM37" i="55"/>
  <c r="AK37" i="55"/>
  <c r="AK19" i="55"/>
  <c r="AK22" i="55" s="1"/>
  <c r="AH12" i="55"/>
  <c r="AH61" i="55"/>
  <c r="AH57" i="55"/>
  <c r="AG54" i="55"/>
  <c r="AF67" i="55"/>
  <c r="AG57" i="55"/>
  <c r="AH54" i="55"/>
  <c r="AH39" i="55" l="1"/>
  <c r="AH44" i="55" s="1"/>
  <c r="AH63" i="55" s="1"/>
  <c r="AQ39" i="55"/>
  <c r="AQ44" i="55" s="1"/>
  <c r="AQ63" i="55" s="1"/>
  <c r="AE39" i="55"/>
  <c r="AE44" i="55" s="1"/>
  <c r="AL39" i="55"/>
  <c r="AL44" i="55" s="1"/>
  <c r="AL63" i="55" s="1"/>
  <c r="AN39" i="55"/>
  <c r="AN44" i="55" s="1"/>
  <c r="AN63" i="55" s="1"/>
  <c r="AG22" i="55"/>
  <c r="AO63" i="55"/>
  <c r="AO70" i="55"/>
  <c r="AO72" i="55" s="1"/>
  <c r="AS39" i="55"/>
  <c r="AS44" i="55" s="1"/>
  <c r="AS63" i="55" s="1"/>
  <c r="AF39" i="55"/>
  <c r="AF44" i="55" s="1"/>
  <c r="AF63" i="55" s="1"/>
  <c r="AM39" i="55"/>
  <c r="AM44" i="55" s="1"/>
  <c r="AM63" i="55" s="1"/>
  <c r="AE63" i="55"/>
  <c r="AJ39" i="55"/>
  <c r="AJ44" i="55" s="1"/>
  <c r="AJ63" i="55" s="1"/>
  <c r="AG37" i="55"/>
  <c r="AT39" i="55"/>
  <c r="AT44" i="55" s="1"/>
  <c r="AT63" i="55" s="1"/>
  <c r="AK39" i="55"/>
  <c r="AK44" i="55" s="1"/>
  <c r="AK63" i="55" s="1"/>
  <c r="AG70" i="55"/>
  <c r="AH70" i="55"/>
  <c r="AE70" i="55"/>
  <c r="AF66" i="55"/>
  <c r="AF70" i="55" s="1"/>
  <c r="AG61" i="55"/>
  <c r="AT66" i="55"/>
  <c r="AP39" i="55"/>
  <c r="AP44" i="55" s="1"/>
  <c r="AP63" i="55" s="1"/>
  <c r="AG12" i="55"/>
  <c r="AQ70" i="55"/>
  <c r="AK70" i="55"/>
  <c r="AT67" i="55"/>
  <c r="AI70" i="55"/>
  <c r="AI39" i="55"/>
  <c r="AI44" i="55" s="1"/>
  <c r="AI63" i="55" s="1"/>
  <c r="AF72" i="55" l="1"/>
  <c r="AK72" i="55"/>
  <c r="AG39" i="55"/>
  <c r="AG44" i="55" s="1"/>
  <c r="AH72" i="55"/>
  <c r="AQ72" i="55"/>
  <c r="AM70" i="55"/>
  <c r="AM72" i="55" s="1"/>
  <c r="AL70" i="55"/>
  <c r="AL72" i="55" s="1"/>
  <c r="AI72" i="55"/>
  <c r="AJ70" i="55"/>
  <c r="AJ72" i="55" s="1"/>
  <c r="AG63" i="55"/>
  <c r="AG72" i="55" s="1"/>
  <c r="AE72" i="55"/>
  <c r="AP70" i="55"/>
  <c r="AP72" i="55" s="1"/>
  <c r="AN70" i="55"/>
  <c r="AN72" i="55" s="1"/>
  <c r="AT75" i="55"/>
  <c r="AT77" i="55"/>
  <c r="AS70" i="55"/>
  <c r="AS72" i="55" s="1"/>
  <c r="AT70" i="55"/>
  <c r="AT72" i="55" s="1"/>
  <c r="BA24" i="49" l="1"/>
  <c r="BJ24" i="49"/>
  <c r="BA25" i="49"/>
  <c r="BE25" i="49"/>
  <c r="BE24" i="49"/>
  <c r="C40" i="60"/>
  <c r="BJ25" i="49"/>
  <c r="AT71" i="56" l="1"/>
  <c r="AT73" i="56" s="1"/>
  <c r="AS73" i="56"/>
  <c r="BK24" i="49"/>
  <c r="BC24" i="49"/>
  <c r="BC25" i="49"/>
  <c r="BK25" i="49"/>
  <c r="AD51" i="53"/>
  <c r="AT37" i="56" l="1"/>
  <c r="AT61" i="56"/>
  <c r="AT30" i="56"/>
  <c r="AT32" i="56"/>
  <c r="AT34" i="56"/>
  <c r="AT47" i="56"/>
  <c r="AT66" i="56"/>
  <c r="AT57" i="56"/>
  <c r="AT31" i="56"/>
  <c r="AT39" i="56"/>
  <c r="AT33" i="56"/>
  <c r="AT36" i="56"/>
  <c r="AT28" i="56"/>
  <c r="AT15" i="56"/>
  <c r="AT24" i="56"/>
  <c r="AT25" i="56"/>
  <c r="AT29" i="56"/>
  <c r="AT13" i="56"/>
  <c r="AT22" i="56"/>
  <c r="AT35" i="56"/>
  <c r="AT56" i="56"/>
  <c r="AT62" i="56"/>
  <c r="BG25" i="49"/>
  <c r="AT59" i="56"/>
  <c r="AT60" i="56"/>
  <c r="AT38" i="56"/>
  <c r="AT54" i="56"/>
  <c r="AT23" i="56"/>
  <c r="BG24" i="49"/>
  <c r="AT16" i="56"/>
  <c r="AT55" i="56"/>
  <c r="AT46" i="56"/>
  <c r="AT20" i="56"/>
  <c r="AT19" i="56"/>
  <c r="AT12" i="56"/>
  <c r="AT18" i="56"/>
  <c r="AT26" i="56"/>
  <c r="AT14" i="56"/>
  <c r="AT58" i="56"/>
  <c r="AT17" i="56"/>
  <c r="AQ49" i="56"/>
  <c r="AT27" i="56"/>
  <c r="AP49" i="56" l="1"/>
  <c r="AL64" i="56"/>
  <c r="AL49" i="56"/>
  <c r="AN64" i="56"/>
  <c r="AT53" i="56"/>
  <c r="AT64" i="56" s="1"/>
  <c r="AS64" i="56"/>
  <c r="AQ41" i="56"/>
  <c r="AQ76" i="56" s="1"/>
  <c r="AN41" i="56"/>
  <c r="AN76" i="56" s="1"/>
  <c r="AL41" i="56"/>
  <c r="AL76" i="56" s="1"/>
  <c r="AO64" i="56"/>
  <c r="AN49" i="56"/>
  <c r="AM41" i="56"/>
  <c r="AM76" i="56" s="1"/>
  <c r="AO41" i="56"/>
  <c r="AO76" i="56" s="1"/>
  <c r="AD82" i="53"/>
  <c r="AB82" i="53"/>
  <c r="AT8" i="56"/>
  <c r="AT41" i="56" s="1"/>
  <c r="AT76" i="56" s="1"/>
  <c r="AS41" i="56"/>
  <c r="AS76" i="56" s="1"/>
  <c r="AQ64" i="56"/>
  <c r="AM64" i="56"/>
  <c r="AK64" i="56"/>
  <c r="AP41" i="56"/>
  <c r="AP76" i="56" s="1"/>
  <c r="AM49" i="56"/>
  <c r="AA67" i="53"/>
  <c r="AS49" i="56"/>
  <c r="AT45" i="56"/>
  <c r="AT49" i="56" s="1"/>
  <c r="Z82" i="53"/>
  <c r="Y51" i="53"/>
  <c r="Y69" i="53" s="1"/>
  <c r="Y84" i="53" s="1"/>
  <c r="Y88" i="53" s="1"/>
  <c r="Z67" i="53"/>
  <c r="AD67" i="53"/>
  <c r="AD69" i="53" s="1"/>
  <c r="AB67" i="53"/>
  <c r="AO49" i="56"/>
  <c r="AP64" i="56"/>
  <c r="AK41" i="56"/>
  <c r="AK76" i="56" s="1"/>
  <c r="AK49" i="56"/>
  <c r="AA82" i="53"/>
  <c r="AP68" i="56" l="1"/>
  <c r="AQ68" i="56"/>
  <c r="AL68" i="56"/>
  <c r="AD84" i="53"/>
  <c r="AB51" i="53"/>
  <c r="AB69" i="53" s="1"/>
  <c r="AB84" i="53" s="1"/>
  <c r="Z31" i="53"/>
  <c r="AD31" i="53"/>
  <c r="AD18" i="53"/>
  <c r="AA31" i="53"/>
  <c r="AA18" i="53"/>
  <c r="Z18" i="53"/>
  <c r="AA51" i="53"/>
  <c r="AA69" i="53" s="1"/>
  <c r="AA84" i="53" s="1"/>
  <c r="AS68" i="56"/>
  <c r="AN68" i="56"/>
  <c r="AT68" i="56"/>
  <c r="AK68" i="56"/>
  <c r="AB31" i="53"/>
  <c r="AO68" i="56"/>
  <c r="Z51" i="53"/>
  <c r="Z69" i="53" s="1"/>
  <c r="Z84" i="53" s="1"/>
  <c r="AB18" i="53"/>
  <c r="AM68" i="56"/>
  <c r="Z33" i="53" l="1"/>
  <c r="AD33" i="53"/>
  <c r="AD88" i="53" s="1"/>
  <c r="Z88" i="53"/>
  <c r="AA33" i="53"/>
  <c r="AA88" i="53" s="1"/>
  <c r="AB33" i="53"/>
  <c r="AB88" i="53" s="1"/>
  <c r="AM12" i="4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tc={F030A919-0499-4249-B4A3-3DC043CCB330}</author>
    <author>tc={7365A2C8-A18E-4BCC-A368-5DB188DEB05F}</author>
  </authors>
  <commentList>
    <comment ref="DO14" authorId="0" shapeId="0" xr:uid="{F030A919-0499-4249-B4A3-3DC043CCB330}">
      <text>
        <t>[Comentário encadeado]
Sua versão do Excel permite que você leia este comentário encadeado, no entanto, as edições serão removidas se o arquivo for aberto em uma versão mais recente do Excel. Saiba mais: https://go.microsoft.com/fwlink/?linkid=870924
Comentário:
    In July, Jacuipe's, Sussuarana's and Riacho de São Pedro's production started being accounted in the Remanso Cluster</t>
      </text>
    </comment>
    <comment ref="DO18" authorId="1" shapeId="0" xr:uid="{7365A2C8-A18E-4BCC-A368-5DB188DEB05F}">
      <text>
        <t>[Comentário encadeado]
Sua versão do Excel permite que você leia este comentário encadeado, no entanto, as edições serão removidas se o arquivo for aberto em uma versão mais recente do Excel. Saiba mais: https://go.microsoft.com/fwlink/?linkid=870924
Comentário:
    From July on, Jacuípe's, Sussuarana's and Riacho de São Pedro's productions were moved from the Miranga cluster to the Remanso Cluster</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<sst xmlns="http://schemas.openxmlformats.org/spreadsheetml/2006/main" count="1865" uniqueCount="1276">
  <si>
    <t>Caixa e equivalentes de caixa</t>
  </si>
  <si>
    <r>
      <t>Aplicações financeiras</t>
    </r>
    <r>
      <rPr>
        <sz val="10"/>
        <color theme="0"/>
        <rFont val="Calibri"/>
        <family val="2"/>
        <scheme val="minor"/>
      </rPr>
      <t xml:space="preserve"> acp</t>
    </r>
  </si>
  <si>
    <t>Contas a receber de clientes</t>
  </si>
  <si>
    <t>Estoques</t>
  </si>
  <si>
    <t>Outros ativos</t>
  </si>
  <si>
    <r>
      <t>Aplicações financeiras</t>
    </r>
    <r>
      <rPr>
        <sz val="10"/>
        <color theme="0"/>
        <rFont val="Calibri"/>
        <family val="2"/>
        <scheme val="minor"/>
      </rPr>
      <t xml:space="preserve"> alp</t>
    </r>
  </si>
  <si>
    <t>Depósitos judiciais</t>
  </si>
  <si>
    <r>
      <t>Outros ativos</t>
    </r>
    <r>
      <rPr>
        <sz val="10"/>
        <color theme="0"/>
        <rFont val="Calibri"/>
        <family val="2"/>
        <scheme val="minor"/>
      </rPr>
      <t xml:space="preserve"> LP</t>
    </r>
  </si>
  <si>
    <t>Investimentos</t>
  </si>
  <si>
    <t>Direito de uso em arrendamento</t>
  </si>
  <si>
    <t>Fornecedores</t>
  </si>
  <si>
    <t>Salários e encargos sociais</t>
  </si>
  <si>
    <t>Tributos a recolher</t>
  </si>
  <si>
    <t>Empréstimos e financiamentos</t>
  </si>
  <si>
    <t>Valores a pagar de arrendamentos</t>
  </si>
  <si>
    <r>
      <t>Instrumentos financeiros derivativos</t>
    </r>
    <r>
      <rPr>
        <sz val="10"/>
        <color theme="0"/>
        <rFont val="Calibri"/>
        <family val="2"/>
        <scheme val="minor"/>
      </rPr>
      <t xml:space="preserve"> pcp</t>
    </r>
  </si>
  <si>
    <t>Provisão para abandono de poços</t>
  </si>
  <si>
    <t>Outras contas a pagar</t>
  </si>
  <si>
    <t>Patrimônio Líquido</t>
  </si>
  <si>
    <t>Capital social</t>
  </si>
  <si>
    <t>Ações em tesouraria</t>
  </si>
  <si>
    <t>Reserva de capital</t>
  </si>
  <si>
    <t>Reservas de lucros</t>
  </si>
  <si>
    <t>Transação de capital</t>
  </si>
  <si>
    <t>Adiantamento para futuro aumento de capital</t>
  </si>
  <si>
    <t>Em milhares de reais</t>
  </si>
  <si>
    <t>Fev</t>
  </si>
  <si>
    <t>Mar</t>
  </si>
  <si>
    <t>Abr</t>
  </si>
  <si>
    <t>Mai</t>
  </si>
  <si>
    <t>Jun</t>
  </si>
  <si>
    <t>Jul</t>
  </si>
  <si>
    <t>Ago</t>
  </si>
  <si>
    <t>Set</t>
  </si>
  <si>
    <t>Out</t>
  </si>
  <si>
    <t>Nov</t>
  </si>
  <si>
    <t>Dez</t>
  </si>
  <si>
    <t>Potiguar</t>
  </si>
  <si>
    <t>Miranga</t>
  </si>
  <si>
    <t>Lucro Bruto</t>
  </si>
  <si>
    <t>Receitas (Despesas)</t>
  </si>
  <si>
    <t>Outras Receitas (Despesas), Líquidas</t>
  </si>
  <si>
    <t>Resultado Financeiro</t>
  </si>
  <si>
    <t>Receitas Financeiras</t>
  </si>
  <si>
    <t xml:space="preserve">Despesas Financeiras </t>
  </si>
  <si>
    <t>Variação Cambial, Líquida</t>
  </si>
  <si>
    <t>Total das Despesas</t>
  </si>
  <si>
    <t>Lucro (Prejuízo) Antes Dos Impostos</t>
  </si>
  <si>
    <t>Total do Resultado Financeiro</t>
  </si>
  <si>
    <t>Corrente</t>
  </si>
  <si>
    <t>Diferido</t>
  </si>
  <si>
    <t>Total Imposto De Renda e Contribuição Social</t>
  </si>
  <si>
    <t>Imposto De Renda e Contribuição Social</t>
  </si>
  <si>
    <t>Gás</t>
  </si>
  <si>
    <t>Variações cambiais sobre caixa e equivalentes de caixa</t>
  </si>
  <si>
    <t xml:space="preserve">Ajustes para reconciliar o lucro (prejuízo) antes dos impostos do </t>
  </si>
  <si>
    <t>Variações Nos Ativos</t>
  </si>
  <si>
    <t>Variações Nos Passivos</t>
  </si>
  <si>
    <t>Impostos a recolher</t>
  </si>
  <si>
    <t>Juros pagos</t>
  </si>
  <si>
    <t>Imposto de renda e contribuição social pagos</t>
  </si>
  <si>
    <t>Pagamentos de financiamentos</t>
  </si>
  <si>
    <t>Exercício de opção de ações</t>
  </si>
  <si>
    <t>Amortização de arrendamento mercantil - principal</t>
  </si>
  <si>
    <t>Fluxo de Caixa das Atividades de Investimentos</t>
  </si>
  <si>
    <t>Fluxo de Caixa Proveniente das Atividades de Financiamento</t>
  </si>
  <si>
    <t>Fluxo de Caixa Proveniente das Operações</t>
  </si>
  <si>
    <t>Ativo</t>
  </si>
  <si>
    <t>Circulante</t>
  </si>
  <si>
    <t>Total dos Ativos Circulantes</t>
  </si>
  <si>
    <t>Não Circulante</t>
  </si>
  <si>
    <t>Total dos Ativos Não Circulantes</t>
  </si>
  <si>
    <t>Passivo</t>
  </si>
  <si>
    <t>Total do Ativo</t>
  </si>
  <si>
    <t>Total do Patrimônio Líquido</t>
  </si>
  <si>
    <t>Total do Passivo e Patrimônio Líquido</t>
  </si>
  <si>
    <t>Total do Passivo</t>
  </si>
  <si>
    <t>Total do Passivo Circulante</t>
  </si>
  <si>
    <t>Total do Passivo Não Circulante</t>
  </si>
  <si>
    <t>Custos dos Serviços Prestados e dos Produtos Vendidos</t>
  </si>
  <si>
    <t xml:space="preserve">Royalties </t>
  </si>
  <si>
    <t>Depleção, Depreciação e Amortização</t>
  </si>
  <si>
    <t>Instrumentos financeiros derivativos</t>
  </si>
  <si>
    <t>Receita Bruta</t>
  </si>
  <si>
    <t>Impostos sobre faturamento</t>
  </si>
  <si>
    <t xml:space="preserve">Pessoal </t>
  </si>
  <si>
    <t>Outros custos e despesas</t>
  </si>
  <si>
    <t>Custos e Despesas</t>
  </si>
  <si>
    <t>EBITDA</t>
  </si>
  <si>
    <t>Total dos Custos e Despesas</t>
  </si>
  <si>
    <t>Eletricidade</t>
  </si>
  <si>
    <t xml:space="preserve">Receita Líquida </t>
  </si>
  <si>
    <t xml:space="preserve">Total </t>
  </si>
  <si>
    <t xml:space="preserve">Jan </t>
  </si>
  <si>
    <r>
      <rPr>
        <sz val="10"/>
        <color rgb="FF989898"/>
        <rFont val="Calibri"/>
        <family val="2"/>
        <scheme val="minor"/>
      </rPr>
      <t>NOTE:  The information contained in this report is compiled for the convenience of subscribers and is furnished without responsibility for accuracy and is accepted by the subscriber on the condition that errors or omissions shall not be made the basis for any claim, demand or cause of action.
NOTE:  OI information is not available until the next business day.
NOTE:  Volume is aggregated and representative of each Futures market strip including applicable TAS and Minute Marker(s) trading activity. NOTE:  Spread Volume includes futures/options combinations, spreads, and defined strategies.</t>
    </r>
  </si>
  <si>
    <r>
      <rPr>
        <sz val="10"/>
        <color rgb="FF989898"/>
        <rFont val="Calibri"/>
        <family val="2"/>
        <scheme val="minor"/>
      </rPr>
      <t>#      Open and Close prices reflect the first and last trade in the market and do not correlate to any opening or closing periods.</t>
    </r>
  </si>
  <si>
    <t>Total Imposto de Renda e Contribuição Social</t>
  </si>
  <si>
    <t>Lucro (Prejuízo) Antes dos Impostos</t>
  </si>
  <si>
    <t>Receita Líquida</t>
  </si>
  <si>
    <t>https://www.theice.com/marketdata/reports/10</t>
  </si>
  <si>
    <t>No link abaixo você pode buscar curva de contratos futuros de Petróleo. A Companhia usa a opção "B- Brent Crude Future"</t>
  </si>
  <si>
    <t>https://www.eia.gov/dnav/pet/hist/LeafHandler.ashx?n=PET&amp;s=RBRTE&amp;f=M</t>
  </si>
  <si>
    <t>No link abaixo você pode buscar preços históricos do Brent .</t>
  </si>
  <si>
    <t>Europe Brent Spot Price FOB (Dollars per Barrel)</t>
  </si>
  <si>
    <t>Year</t>
  </si>
  <si>
    <t>Jan</t>
  </si>
  <si>
    <t>Feb</t>
  </si>
  <si>
    <t>Apr</t>
  </si>
  <si>
    <t>May</t>
  </si>
  <si>
    <t>Aug</t>
  </si>
  <si>
    <t>Sep</t>
  </si>
  <si>
    <t>Oct</t>
  </si>
  <si>
    <t>Dec</t>
  </si>
  <si>
    <t>  1987</t>
  </si>
  <si>
    <t>18.58</t>
  </si>
  <si>
    <t>18.86</t>
  </si>
  <si>
    <t>19.86</t>
  </si>
  <si>
    <t>18.98</t>
  </si>
  <si>
    <t>18.31</t>
  </si>
  <si>
    <t>18.76</t>
  </si>
  <si>
    <t>17.78</t>
  </si>
  <si>
    <t>17.05</t>
  </si>
  <si>
    <t>  1988</t>
  </si>
  <si>
    <t>16.75</t>
  </si>
  <si>
    <t>15.73</t>
  </si>
  <si>
    <t>14.73</t>
  </si>
  <si>
    <t>16.60</t>
  </si>
  <si>
    <t>16.31</t>
  </si>
  <si>
    <t>15.54</t>
  </si>
  <si>
    <t>14.91</t>
  </si>
  <si>
    <t>14.89</t>
  </si>
  <si>
    <t>13.18</t>
  </si>
  <si>
    <t>12.41</t>
  </si>
  <si>
    <t>13.02</t>
  </si>
  <si>
    <t>15.31</t>
  </si>
  <si>
    <t>  1989</t>
  </si>
  <si>
    <t>17.17</t>
  </si>
  <si>
    <t>16.89</t>
  </si>
  <si>
    <t>18.70</t>
  </si>
  <si>
    <t>20.32</t>
  </si>
  <si>
    <t>18.63</t>
  </si>
  <si>
    <t>17.67</t>
  </si>
  <si>
    <t>17.62</t>
  </si>
  <si>
    <t>16.77</t>
  </si>
  <si>
    <t>17.77</t>
  </si>
  <si>
    <t>18.91</t>
  </si>
  <si>
    <t>18.73</t>
  </si>
  <si>
    <t>19.84</t>
  </si>
  <si>
    <t>  1990</t>
  </si>
  <si>
    <t>21.25</t>
  </si>
  <si>
    <t>19.81</t>
  </si>
  <si>
    <t>18.39</t>
  </si>
  <si>
    <t>16.61</t>
  </si>
  <si>
    <t>16.35</t>
  </si>
  <si>
    <t>15.10</t>
  </si>
  <si>
    <t>27.17</t>
  </si>
  <si>
    <t>34.90</t>
  </si>
  <si>
    <t>36.02</t>
  </si>
  <si>
    <t>33.07</t>
  </si>
  <si>
    <t>28.27</t>
  </si>
  <si>
    <t>  1991</t>
  </si>
  <si>
    <t>23.57</t>
  </si>
  <si>
    <t>19.54</t>
  </si>
  <si>
    <t>19.08</t>
  </si>
  <si>
    <t>19.18</t>
  </si>
  <si>
    <t>19.19</t>
  </si>
  <si>
    <t>18.17</t>
  </si>
  <si>
    <t>19.40</t>
  </si>
  <si>
    <t>19.77</t>
  </si>
  <si>
    <t>20.50</t>
  </si>
  <si>
    <t>22.21</t>
  </si>
  <si>
    <t>21.11</t>
  </si>
  <si>
    <t>18.41</t>
  </si>
  <si>
    <t>  1992</t>
  </si>
  <si>
    <t>18.16</t>
  </si>
  <si>
    <t>18.05</t>
  </si>
  <si>
    <t>17.63</t>
  </si>
  <si>
    <t>18.92</t>
  </si>
  <si>
    <t>19.89</t>
  </si>
  <si>
    <t>21.16</t>
  </si>
  <si>
    <t>20.24</t>
  </si>
  <si>
    <t>19.74</t>
  </si>
  <si>
    <t>20.27</t>
  </si>
  <si>
    <t>20.26</t>
  </si>
  <si>
    <t>19.21</t>
  </si>
  <si>
    <t>18.14</t>
  </si>
  <si>
    <t>  1993</t>
  </si>
  <si>
    <t>17.39</t>
  </si>
  <si>
    <t>18.47</t>
  </si>
  <si>
    <t>18.79</t>
  </si>
  <si>
    <t>18.67</t>
  </si>
  <si>
    <t>18.51</t>
  </si>
  <si>
    <t>17.65</t>
  </si>
  <si>
    <t>16.78</t>
  </si>
  <si>
    <t>16.70</t>
  </si>
  <si>
    <t>16.01</t>
  </si>
  <si>
    <t>15.20</t>
  </si>
  <si>
    <t>13.73</t>
  </si>
  <si>
    <t>  1994</t>
  </si>
  <si>
    <t>14.29</t>
  </si>
  <si>
    <t>13.80</t>
  </si>
  <si>
    <t>13.82</t>
  </si>
  <si>
    <t>15.23</t>
  </si>
  <si>
    <t>16.19</t>
  </si>
  <si>
    <t>16.76</t>
  </si>
  <si>
    <t>17.60</t>
  </si>
  <si>
    <t>15.90</t>
  </si>
  <si>
    <t>16.49</t>
  </si>
  <si>
    <t>17.19</t>
  </si>
  <si>
    <t>15.93</t>
  </si>
  <si>
    <t>  1995</t>
  </si>
  <si>
    <t>16.55</t>
  </si>
  <si>
    <t>17.11</t>
  </si>
  <si>
    <t>17.01</t>
  </si>
  <si>
    <t>18.65</t>
  </si>
  <si>
    <t>18.35</t>
  </si>
  <si>
    <t>17.31</t>
  </si>
  <si>
    <t>15.85</t>
  </si>
  <si>
    <t>16.10</t>
  </si>
  <si>
    <t>16.11</t>
  </si>
  <si>
    <t>16.86</t>
  </si>
  <si>
    <t>17.93</t>
  </si>
  <si>
    <t>  1996</t>
  </si>
  <si>
    <t>17.85</t>
  </si>
  <si>
    <t>18.00</t>
  </si>
  <si>
    <t>19.85</t>
  </si>
  <si>
    <t>20.90</t>
  </si>
  <si>
    <t>19.15</t>
  </si>
  <si>
    <t>18.46</t>
  </si>
  <si>
    <t>19.57</t>
  </si>
  <si>
    <t>20.51</t>
  </si>
  <si>
    <t>22.63</t>
  </si>
  <si>
    <t>24.16</t>
  </si>
  <si>
    <t>22.76</t>
  </si>
  <si>
    <t>23.78</t>
  </si>
  <si>
    <t>  1997</t>
  </si>
  <si>
    <t>23.54</t>
  </si>
  <si>
    <t>20.85</t>
  </si>
  <si>
    <t>19.13</t>
  </si>
  <si>
    <t>17.56</t>
  </si>
  <si>
    <t>19.02</t>
  </si>
  <si>
    <t>17.58</t>
  </si>
  <si>
    <t>18.60</t>
  </si>
  <si>
    <t>19.87</t>
  </si>
  <si>
    <t>19.17</t>
  </si>
  <si>
    <t>17.18</t>
  </si>
  <si>
    <t>  1998</t>
  </si>
  <si>
    <t>15.19</t>
  </si>
  <si>
    <t>14.07</t>
  </si>
  <si>
    <t>13.10</t>
  </si>
  <si>
    <t>13.53</t>
  </si>
  <si>
    <t>14.36</t>
  </si>
  <si>
    <t>12.21</t>
  </si>
  <si>
    <t>12.08</t>
  </si>
  <si>
    <t>11.91</t>
  </si>
  <si>
    <t>13.34</t>
  </si>
  <si>
    <t>12.70</t>
  </si>
  <si>
    <t>11.04</t>
  </si>
  <si>
    <t>9.82</t>
  </si>
  <si>
    <t>  1999</t>
  </si>
  <si>
    <t>11.11</t>
  </si>
  <si>
    <t>10.27</t>
  </si>
  <si>
    <t>12.51</t>
  </si>
  <si>
    <t>15.29</t>
  </si>
  <si>
    <t>15.86</t>
  </si>
  <si>
    <t>20.22</t>
  </si>
  <si>
    <t>22.54</t>
  </si>
  <si>
    <t>22.00</t>
  </si>
  <si>
    <t>24.58</t>
  </si>
  <si>
    <t>25.47</t>
  </si>
  <si>
    <t>  2000</t>
  </si>
  <si>
    <t>25.51</t>
  </si>
  <si>
    <t>27.78</t>
  </si>
  <si>
    <t>27.49</t>
  </si>
  <si>
    <t>27.74</t>
  </si>
  <si>
    <t>29.80</t>
  </si>
  <si>
    <t>28.68</t>
  </si>
  <si>
    <t>30.20</t>
  </si>
  <si>
    <t>33.14</t>
  </si>
  <si>
    <t>30.96</t>
  </si>
  <si>
    <t>32.55</t>
  </si>
  <si>
    <t>25.66</t>
  </si>
  <si>
    <t>  2001</t>
  </si>
  <si>
    <t>25.62</t>
  </si>
  <si>
    <t>27.50</t>
  </si>
  <si>
    <t>24.50</t>
  </si>
  <si>
    <t>28.31</t>
  </si>
  <si>
    <t>27.85</t>
  </si>
  <si>
    <t>24.61</t>
  </si>
  <si>
    <t>25.68</t>
  </si>
  <si>
    <t>20.54</t>
  </si>
  <si>
    <t>18.80</t>
  </si>
  <si>
    <t>18.71</t>
  </si>
  <si>
    <t>  2002</t>
  </si>
  <si>
    <t>19.42</t>
  </si>
  <si>
    <t>20.28</t>
  </si>
  <si>
    <t>23.70</t>
  </si>
  <si>
    <t>25.73</t>
  </si>
  <si>
    <t>25.35</t>
  </si>
  <si>
    <t>24.08</t>
  </si>
  <si>
    <t>25.74</t>
  </si>
  <si>
    <t>26.65</t>
  </si>
  <si>
    <t>28.40</t>
  </si>
  <si>
    <t>27.54</t>
  </si>
  <si>
    <t>24.34</t>
  </si>
  <si>
    <t>28.33</t>
  </si>
  <si>
    <t>  2003</t>
  </si>
  <si>
    <t>31.18</t>
  </si>
  <si>
    <t>32.77</t>
  </si>
  <si>
    <t>30.61</t>
  </si>
  <si>
    <t>25.00</t>
  </si>
  <si>
    <t>25.86</t>
  </si>
  <si>
    <t>27.65</t>
  </si>
  <si>
    <t>28.35</t>
  </si>
  <si>
    <t>29.89</t>
  </si>
  <si>
    <t>27.11</t>
  </si>
  <si>
    <t>29.61</t>
  </si>
  <si>
    <t>28.75</t>
  </si>
  <si>
    <t>29.81</t>
  </si>
  <si>
    <t>  2004</t>
  </si>
  <si>
    <t>31.28</t>
  </si>
  <si>
    <t>30.86</t>
  </si>
  <si>
    <t>33.63</t>
  </si>
  <si>
    <t>33.59</t>
  </si>
  <si>
    <t>37.57</t>
  </si>
  <si>
    <t>35.18</t>
  </si>
  <si>
    <t>38.22</t>
  </si>
  <si>
    <t>42.74</t>
  </si>
  <si>
    <t>43.20</t>
  </si>
  <si>
    <t>49.78</t>
  </si>
  <si>
    <t>43.11</t>
  </si>
  <si>
    <t>39.60</t>
  </si>
  <si>
    <t>  2005</t>
  </si>
  <si>
    <t>44.51</t>
  </si>
  <si>
    <t>45.48</t>
  </si>
  <si>
    <t>53.10</t>
  </si>
  <si>
    <t>51.88</t>
  </si>
  <si>
    <t>48.65</t>
  </si>
  <si>
    <t>54.35</t>
  </si>
  <si>
    <t>57.52</t>
  </si>
  <si>
    <t>63.98</t>
  </si>
  <si>
    <t>62.91</t>
  </si>
  <si>
    <t>58.54</t>
  </si>
  <si>
    <t>55.24</t>
  </si>
  <si>
    <t>56.86</t>
  </si>
  <si>
    <t>  2006</t>
  </si>
  <si>
    <t>62.99</t>
  </si>
  <si>
    <t>60.21</t>
  </si>
  <si>
    <t>62.06</t>
  </si>
  <si>
    <t>70.26</t>
  </si>
  <si>
    <t>69.78</t>
  </si>
  <si>
    <t>68.56</t>
  </si>
  <si>
    <t>73.67</t>
  </si>
  <si>
    <t>73.23</t>
  </si>
  <si>
    <t>61.96</t>
  </si>
  <si>
    <t>57.81</t>
  </si>
  <si>
    <t>58.76</t>
  </si>
  <si>
    <t>62.47</t>
  </si>
  <si>
    <t>  2007</t>
  </si>
  <si>
    <t>53.68</t>
  </si>
  <si>
    <t>57.56</t>
  </si>
  <si>
    <t>62.05</t>
  </si>
  <si>
    <t>67.49</t>
  </si>
  <si>
    <t>67.21</t>
  </si>
  <si>
    <t>71.05</t>
  </si>
  <si>
    <t>76.93</t>
  </si>
  <si>
    <t>70.76</t>
  </si>
  <si>
    <t>77.17</t>
  </si>
  <si>
    <t>82.34</t>
  </si>
  <si>
    <t>92.41</t>
  </si>
  <si>
    <t>90.93</t>
  </si>
  <si>
    <t>  2008</t>
  </si>
  <si>
    <t>92.18</t>
  </si>
  <si>
    <t>94.99</t>
  </si>
  <si>
    <t>103.64</t>
  </si>
  <si>
    <t>109.07</t>
  </si>
  <si>
    <t>122.80</t>
  </si>
  <si>
    <t>132.32</t>
  </si>
  <si>
    <t>132.72</t>
  </si>
  <si>
    <t>113.24</t>
  </si>
  <si>
    <t>97.23</t>
  </si>
  <si>
    <t>71.58</t>
  </si>
  <si>
    <t>52.45</t>
  </si>
  <si>
    <t>39.95</t>
  </si>
  <si>
    <t>  2009</t>
  </si>
  <si>
    <t>43.44</t>
  </si>
  <si>
    <t>43.32</t>
  </si>
  <si>
    <t>46.54</t>
  </si>
  <si>
    <t>50.18</t>
  </si>
  <si>
    <t>57.30</t>
  </si>
  <si>
    <t>68.61</t>
  </si>
  <si>
    <t>64.44</t>
  </si>
  <si>
    <t>72.51</t>
  </si>
  <si>
    <t>67.65</t>
  </si>
  <si>
    <t>72.77</t>
  </si>
  <si>
    <t>76.66</t>
  </si>
  <si>
    <t>74.46</t>
  </si>
  <si>
    <t>  2010</t>
  </si>
  <si>
    <t>76.17</t>
  </si>
  <si>
    <t>73.75</t>
  </si>
  <si>
    <t>78.83</t>
  </si>
  <si>
    <t>84.82</t>
  </si>
  <si>
    <t>75.95</t>
  </si>
  <si>
    <t>74.76</t>
  </si>
  <si>
    <t>75.58</t>
  </si>
  <si>
    <t>77.04</t>
  </si>
  <si>
    <t>77.84</t>
  </si>
  <si>
    <t>82.67</t>
  </si>
  <si>
    <t>85.28</t>
  </si>
  <si>
    <t>91.45</t>
  </si>
  <si>
    <t>  2011</t>
  </si>
  <si>
    <t>96.52</t>
  </si>
  <si>
    <t>103.72</t>
  </si>
  <si>
    <t>114.64</t>
  </si>
  <si>
    <t>123.26</t>
  </si>
  <si>
    <t>114.99</t>
  </si>
  <si>
    <t>113.83</t>
  </si>
  <si>
    <t>116.97</t>
  </si>
  <si>
    <t>110.22</t>
  </si>
  <si>
    <t>112.83</t>
  </si>
  <si>
    <t>109.55</t>
  </si>
  <si>
    <t>110.77</t>
  </si>
  <si>
    <t>107.87</t>
  </si>
  <si>
    <t>  2012</t>
  </si>
  <si>
    <t>110.69</t>
  </si>
  <si>
    <t>119.33</t>
  </si>
  <si>
    <t>125.45</t>
  </si>
  <si>
    <t>119.75</t>
  </si>
  <si>
    <t>110.34</t>
  </si>
  <si>
    <t>95.16</t>
  </si>
  <si>
    <t>102.62</t>
  </si>
  <si>
    <t>113.36</t>
  </si>
  <si>
    <t>112.86</t>
  </si>
  <si>
    <t>111.71</t>
  </si>
  <si>
    <t>109.06</t>
  </si>
  <si>
    <t>109.49</t>
  </si>
  <si>
    <t>  2013</t>
  </si>
  <si>
    <t>112.96</t>
  </si>
  <si>
    <t>116.05</t>
  </si>
  <si>
    <t>108.47</t>
  </si>
  <si>
    <t>102.25</t>
  </si>
  <si>
    <t>102.56</t>
  </si>
  <si>
    <t>102.92</t>
  </si>
  <si>
    <t>107.93</t>
  </si>
  <si>
    <t>111.28</t>
  </si>
  <si>
    <t>111.60</t>
  </si>
  <si>
    <t>109.08</t>
  </si>
  <si>
    <t>107.79</t>
  </si>
  <si>
    <t>110.76</t>
  </si>
  <si>
    <t>  2014</t>
  </si>
  <si>
    <t>108.12</t>
  </si>
  <si>
    <t>108.90</t>
  </si>
  <si>
    <t>107.48</t>
  </si>
  <si>
    <t>107.76</t>
  </si>
  <si>
    <t>109.54</t>
  </si>
  <si>
    <t>111.80</t>
  </si>
  <si>
    <t>106.77</t>
  </si>
  <si>
    <t>101.61</t>
  </si>
  <si>
    <t>97.09</t>
  </si>
  <si>
    <t>87.43</t>
  </si>
  <si>
    <t>79.44</t>
  </si>
  <si>
    <t>62.34</t>
  </si>
  <si>
    <t>  2015</t>
  </si>
  <si>
    <t>47.76</t>
  </si>
  <si>
    <t>58.10</t>
  </si>
  <si>
    <t>55.89</t>
  </si>
  <si>
    <t>59.52</t>
  </si>
  <si>
    <t>64.08</t>
  </si>
  <si>
    <t>61.48</t>
  </si>
  <si>
    <t>56.56</t>
  </si>
  <si>
    <t>46.52</t>
  </si>
  <si>
    <t>47.62</t>
  </si>
  <si>
    <t>48.43</t>
  </si>
  <si>
    <t>44.27</t>
  </si>
  <si>
    <t>38.01</t>
  </si>
  <si>
    <t>  2016</t>
  </si>
  <si>
    <t>30.70</t>
  </si>
  <si>
    <t>32.18</t>
  </si>
  <si>
    <t>38.21</t>
  </si>
  <si>
    <t>41.58</t>
  </si>
  <si>
    <t>46.74</t>
  </si>
  <si>
    <t>48.25</t>
  </si>
  <si>
    <t>44.95</t>
  </si>
  <si>
    <t>45.84</t>
  </si>
  <si>
    <t>46.57</t>
  </si>
  <si>
    <t>49.52</t>
  </si>
  <si>
    <t>44.73</t>
  </si>
  <si>
    <t>53.31</t>
  </si>
  <si>
    <t>  2017</t>
  </si>
  <si>
    <t>54.58</t>
  </si>
  <si>
    <t>54.87</t>
  </si>
  <si>
    <t>51.59</t>
  </si>
  <si>
    <t>52.31</t>
  </si>
  <si>
    <t>50.33</t>
  </si>
  <si>
    <t>46.37</t>
  </si>
  <si>
    <t>48.48</t>
  </si>
  <si>
    <t>51.70</t>
  </si>
  <si>
    <t>56.15</t>
  </si>
  <si>
    <t>57.51</t>
  </si>
  <si>
    <t>62.71</t>
  </si>
  <si>
    <t>64.37</t>
  </si>
  <si>
    <t>  2018</t>
  </si>
  <si>
    <t>69.08</t>
  </si>
  <si>
    <t>65.32</t>
  </si>
  <si>
    <t>66.02</t>
  </si>
  <si>
    <t>72.11</t>
  </si>
  <si>
    <t>76.98</t>
  </si>
  <si>
    <t>74.41</t>
  </si>
  <si>
    <t>74.25</t>
  </si>
  <si>
    <t>72.53</t>
  </si>
  <si>
    <t>78.89</t>
  </si>
  <si>
    <t>81.03</t>
  </si>
  <si>
    <t>64.75</t>
  </si>
  <si>
    <t>57.36</t>
  </si>
  <si>
    <t>  2019</t>
  </si>
  <si>
    <t>59.41</t>
  </si>
  <si>
    <t>63.96</t>
  </si>
  <si>
    <t>66.14</t>
  </si>
  <si>
    <t>71.23</t>
  </si>
  <si>
    <t>71.32</t>
  </si>
  <si>
    <t>64.22</t>
  </si>
  <si>
    <t>63.92</t>
  </si>
  <si>
    <t>59.04</t>
  </si>
  <si>
    <t>62.83</t>
  </si>
  <si>
    <t>59.71</t>
  </si>
  <si>
    <t>63.21</t>
  </si>
  <si>
    <t>67.31</t>
  </si>
  <si>
    <t>  2020</t>
  </si>
  <si>
    <t>63.65</t>
  </si>
  <si>
    <t>55.66</t>
  </si>
  <si>
    <t>32.01</t>
  </si>
  <si>
    <t>18.38</t>
  </si>
  <si>
    <t>29.38</t>
  </si>
  <si>
    <t>40.27</t>
  </si>
  <si>
    <t>43.24</t>
  </si>
  <si>
    <t>44.74</t>
  </si>
  <si>
    <t>40.91</t>
  </si>
  <si>
    <t>40.19</t>
  </si>
  <si>
    <t>42.69</t>
  </si>
  <si>
    <t>49.99</t>
  </si>
  <si>
    <t>  2021</t>
  </si>
  <si>
    <t>54.77</t>
  </si>
  <si>
    <t>62.28</t>
  </si>
  <si>
    <t>65.41</t>
  </si>
  <si>
    <t>64.81</t>
  </si>
  <si>
    <t>68.53</t>
  </si>
  <si>
    <t>73.16</t>
  </si>
  <si>
    <t>75.17</t>
  </si>
  <si>
    <t>70.75</t>
  </si>
  <si>
    <t>74.49</t>
  </si>
  <si>
    <t>83.54</t>
  </si>
  <si>
    <t>81.05</t>
  </si>
  <si>
    <t>74.17</t>
  </si>
  <si>
    <t>  2022</t>
  </si>
  <si>
    <t>86.51</t>
  </si>
  <si>
    <t>Total</t>
  </si>
  <si>
    <t>Total 1P Gross WI</t>
  </si>
  <si>
    <t>Total 2P Gross WI</t>
  </si>
  <si>
    <t>Ano</t>
  </si>
  <si>
    <t>TOTAL</t>
  </si>
  <si>
    <t>MBOE</t>
  </si>
  <si>
    <t>(US$ 000)</t>
  </si>
  <si>
    <t>(US$/bbl)</t>
  </si>
  <si>
    <t>LOE</t>
  </si>
  <si>
    <t>Remanso+BTREC*</t>
  </si>
  <si>
    <t>Jan'22</t>
  </si>
  <si>
    <t>Produto</t>
  </si>
  <si>
    <t>Comentários</t>
  </si>
  <si>
    <t>Pis / Cofins</t>
  </si>
  <si>
    <t xml:space="preserve">  Óleo </t>
  </si>
  <si>
    <t>N/A</t>
  </si>
  <si>
    <t>ICMS</t>
  </si>
  <si>
    <t>Com exclusão do ICMS na Base de Cálculo do Pis/ Cofins</t>
  </si>
  <si>
    <t>Royalty Cost</t>
  </si>
  <si>
    <t>Capital Cost</t>
  </si>
  <si>
    <t>Abdnmnt Cost</t>
  </si>
  <si>
    <t xml:space="preserve">2P Equiv. Gross WI </t>
  </si>
  <si>
    <t>Imobilizado e Intangível</t>
  </si>
  <si>
    <t>Fev'22</t>
  </si>
  <si>
    <t>Mar'22</t>
  </si>
  <si>
    <t>97.13</t>
  </si>
  <si>
    <t>117.25</t>
  </si>
  <si>
    <t>104.58</t>
  </si>
  <si>
    <t>exercício / período com o caixa gerado pelas atividades operacionais</t>
  </si>
  <si>
    <t>Lucro Operacional</t>
  </si>
  <si>
    <t>Lucro (Prejuízo) Líquido Do Exercício / Período</t>
  </si>
  <si>
    <t>Abr'22</t>
  </si>
  <si>
    <t>In thousands of reais</t>
  </si>
  <si>
    <t>Assets</t>
  </si>
  <si>
    <t xml:space="preserve">Balanço Patrimonial Consolidado | Consolidated Balance Sheet </t>
  </si>
  <si>
    <t>1T21 / 1Q21</t>
  </si>
  <si>
    <t>2T21 / 2Q21</t>
  </si>
  <si>
    <t>3T21/3Q21</t>
  </si>
  <si>
    <t>1T22 / 1Q22</t>
  </si>
  <si>
    <t>Cash and cash equivalents</t>
  </si>
  <si>
    <t>Taxes to be recovered</t>
  </si>
  <si>
    <t>Other assets</t>
  </si>
  <si>
    <t>Total Current Assets</t>
  </si>
  <si>
    <t>Judicial deposits</t>
  </si>
  <si>
    <t>Investments</t>
  </si>
  <si>
    <t>Total Non-Current Assets</t>
  </si>
  <si>
    <t>Suppliers</t>
  </si>
  <si>
    <t>Salaries and social charges</t>
  </si>
  <si>
    <t>Loans and financing</t>
  </si>
  <si>
    <t>Dividends payable</t>
  </si>
  <si>
    <t>Amounts payable for acquisitions</t>
  </si>
  <si>
    <t>Other accounts payable</t>
  </si>
  <si>
    <t>Total Current Liabilities</t>
  </si>
  <si>
    <t>Total Non-Current Liabilities</t>
  </si>
  <si>
    <t>Total Liabilities</t>
  </si>
  <si>
    <t>Share capital</t>
  </si>
  <si>
    <t>Treasury shares</t>
  </si>
  <si>
    <t>Capital reserve</t>
  </si>
  <si>
    <t>Retained earnings</t>
  </si>
  <si>
    <t>Equity valuation adjustments</t>
  </si>
  <si>
    <t>Capital transaction</t>
  </si>
  <si>
    <t>Advance for future capital increase</t>
  </si>
  <si>
    <t>Total Assets</t>
  </si>
  <si>
    <t>Net Revenue</t>
  </si>
  <si>
    <t>Total Expenses</t>
  </si>
  <si>
    <t>Financial Revenues</t>
  </si>
  <si>
    <t xml:space="preserve">Financial Expenses </t>
  </si>
  <si>
    <t>Exchange Variation, Net</t>
  </si>
  <si>
    <t>Profit (Loss) Before Taxes</t>
  </si>
  <si>
    <t>Income Tax and Social Contribution</t>
  </si>
  <si>
    <t>Current</t>
  </si>
  <si>
    <t>Deferred</t>
  </si>
  <si>
    <t>Total Income Tax and Social Contribution</t>
  </si>
  <si>
    <t>Net Income (Loss) For the Year / Period</t>
  </si>
  <si>
    <t>1T20 / 1Q20</t>
  </si>
  <si>
    <t>2T20 /2Q20</t>
  </si>
  <si>
    <t>3T20 / 3Q20</t>
  </si>
  <si>
    <t>4T20 / 4Q20</t>
  </si>
  <si>
    <t>2T21 /2Q21</t>
  </si>
  <si>
    <t>3T21 / 3Q21</t>
  </si>
  <si>
    <t>4T21 / 4Q21</t>
  </si>
  <si>
    <t>Demonstração de Resultados (Detalhada) |  Income Statement (Detailed)</t>
  </si>
  <si>
    <t>Derivative financial instruments</t>
  </si>
  <si>
    <t>Costs and Expenses</t>
  </si>
  <si>
    <t>Electricity</t>
  </si>
  <si>
    <t>Provision for well abandonment</t>
  </si>
  <si>
    <t>Other costs and expenses</t>
  </si>
  <si>
    <t>Total Costs and Expenses</t>
  </si>
  <si>
    <t>Personnel</t>
  </si>
  <si>
    <t>Depletion, Depreciation and Amortization</t>
  </si>
  <si>
    <t>Operating Income (Loss)</t>
  </si>
  <si>
    <t>Preço Futuro  Future Price</t>
  </si>
  <si>
    <t>Referências de Preço de Petróleo | Oil Price Reference</t>
  </si>
  <si>
    <t>In the link below you can look for curve of oil futures contracts. The Company uses the option "B- Brent Crude Future"</t>
  </si>
  <si>
    <t>Preço Histórico  Historical Price</t>
  </si>
  <si>
    <t>At the link below you can search for historical Brent prices.</t>
  </si>
  <si>
    <t>Fluxo de Caixa | Cash Flow</t>
  </si>
  <si>
    <t>Changes in Assets</t>
  </si>
  <si>
    <t>Changes in Liabilities</t>
  </si>
  <si>
    <t>Taxes to be collected</t>
  </si>
  <si>
    <t>Payment of tax, civil, labor and regulatory contingencies</t>
  </si>
  <si>
    <t>Payment of hedge contracts</t>
  </si>
  <si>
    <t>Interest paid</t>
  </si>
  <si>
    <t>Income tax and social contribution paid</t>
  </si>
  <si>
    <t>Net Cash Generated by Operating Activities</t>
  </si>
  <si>
    <t>Cash Flow from Investment Activities</t>
  </si>
  <si>
    <t>Cash Flow From Financing Activities</t>
  </si>
  <si>
    <t>Financing payments</t>
  </si>
  <si>
    <t>Stock option exercise</t>
  </si>
  <si>
    <t>Amortization of leasing - principal</t>
  </si>
  <si>
    <t>Exchange variations on cash and cash equivalents</t>
  </si>
  <si>
    <t>Increase (Decrease) in Cash Balance and Cash Equivalents</t>
  </si>
  <si>
    <t>Cash and cash equivalents at the beginning of the period /fiscal year</t>
  </si>
  <si>
    <t>Cash and cash equivalents at the end of the period /fiscal year</t>
  </si>
  <si>
    <t>Produção de Titularidade da Companhia | Working Interest Production</t>
  </si>
  <si>
    <t>Petróleo | Oil</t>
  </si>
  <si>
    <t>Gás | Gas</t>
  </si>
  <si>
    <t>1P - Reservas Provadas | Proved Reserves</t>
  </si>
  <si>
    <t>Total 1P</t>
  </si>
  <si>
    <t>Reservas Prováveis | Probable Reserves</t>
  </si>
  <si>
    <t>Certificação de Reservas de Participação Bruta | Reserve Certification Gross Working Interest</t>
  </si>
  <si>
    <t>Para detalhamento completo, os Relatórios e Planilhas da Certificação de Reservas estão disponíveis em:  https://ri.petroreconcavo.com.br/informacoes-financeiras/relatorios-de-certificacao-de-reservas/</t>
  </si>
  <si>
    <t>For full detail, Reserve Report documents and Sheets are available at: https://ri.petroreconcavo.com.br/en/financial-information/reserves-reports/</t>
  </si>
  <si>
    <t>2P - Reservas Provadas + Prováveis | Proved + Probable Reserves</t>
  </si>
  <si>
    <t>Total 2P</t>
  </si>
  <si>
    <t>1P - Provada | Proved</t>
  </si>
  <si>
    <t>2P - Provadas + Prováveis | Proved + Probable</t>
  </si>
  <si>
    <t>Considera 2P Participação Bruta | Considers 2P Gross Working Interest</t>
  </si>
  <si>
    <t>Suporte a Modelagem | Modelling Support</t>
  </si>
  <si>
    <t>Ativo Potiguar 
Potiguar Asset</t>
  </si>
  <si>
    <t xml:space="preserve">Oil </t>
  </si>
  <si>
    <t>Product</t>
  </si>
  <si>
    <t>Comments</t>
  </si>
  <si>
    <t>Current Assets</t>
  </si>
  <si>
    <t>Short-therm investments</t>
  </si>
  <si>
    <t>Trade receivables</t>
  </si>
  <si>
    <t>Inventories</t>
  </si>
  <si>
    <t>Recoverable taxes</t>
  </si>
  <si>
    <t xml:space="preserve">Derivative financial instruments </t>
  </si>
  <si>
    <t xml:space="preserve">Short-term investments </t>
  </si>
  <si>
    <t xml:space="preserve">Deferred taxes </t>
  </si>
  <si>
    <t>PP&amp;E and Intangible assets</t>
  </si>
  <si>
    <t>Lease right-of- use assets</t>
  </si>
  <si>
    <t>Current Liabilities</t>
  </si>
  <si>
    <t>Liabilities</t>
  </si>
  <si>
    <t>Non-Current Liabilities</t>
  </si>
  <si>
    <t>Non-Current Assets</t>
  </si>
  <si>
    <t>Payroll and related charges</t>
  </si>
  <si>
    <t>Lease amounts payable</t>
  </si>
  <si>
    <t>Other payables</t>
  </si>
  <si>
    <t xml:space="preserve">Loans and financing </t>
  </si>
  <si>
    <t>Net Equity</t>
  </si>
  <si>
    <t>Profit reserve</t>
  </si>
  <si>
    <t xml:space="preserve">Costs of Sales and Services </t>
  </si>
  <si>
    <t>Gross Profit</t>
  </si>
  <si>
    <t>Income (Expenses)</t>
  </si>
  <si>
    <t>Operating Income</t>
  </si>
  <si>
    <t>Financial Income</t>
  </si>
  <si>
    <r>
      <t>Total Financial I</t>
    </r>
    <r>
      <rPr>
        <b/>
        <sz val="10"/>
        <rFont val="Calibri"/>
        <family val="2"/>
      </rPr>
      <t>ncome</t>
    </r>
  </si>
  <si>
    <t>Taxes on Income</t>
  </si>
  <si>
    <t>Other net income (expenses)</t>
  </si>
  <si>
    <t>Cash Flow Operation Activities</t>
  </si>
  <si>
    <t>Income (loss) before taxes on income</t>
  </si>
  <si>
    <t>with cash from  operating activities</t>
  </si>
  <si>
    <t xml:space="preserve">Adjustments to reconcile income (loss) before taxes in the period </t>
  </si>
  <si>
    <t>Net Interest and foreign exchange variations</t>
  </si>
  <si>
    <t>Provision for inventories loss</t>
  </si>
  <si>
    <t xml:space="preserve">Fair value of settled hedge </t>
  </si>
  <si>
    <t>Adjustment of provision for well abandonment</t>
  </si>
  <si>
    <t>Write-off of property, plant and equipment and leases</t>
  </si>
  <si>
    <t xml:space="preserve">Trade receivables </t>
  </si>
  <si>
    <t>Demonstração de Resultados (Resumida) |  Income Statement (Summary)</t>
  </si>
  <si>
    <t>Mai'22</t>
  </si>
  <si>
    <t>Jun'22</t>
  </si>
  <si>
    <t>113.34</t>
  </si>
  <si>
    <t>122.71</t>
  </si>
  <si>
    <t>2T22 / 2Q22</t>
  </si>
  <si>
    <t>Lifting Cost Consolidado | Consolidated Lifting Cost</t>
  </si>
  <si>
    <t>1S23</t>
  </si>
  <si>
    <t>Bahiagás</t>
  </si>
  <si>
    <t>Potigás</t>
  </si>
  <si>
    <t>Pbgás</t>
  </si>
  <si>
    <t>Cegás</t>
  </si>
  <si>
    <t>Tributos diferidos</t>
  </si>
  <si>
    <t>Deferred taxes</t>
  </si>
  <si>
    <t>Total Net Equity</t>
  </si>
  <si>
    <t>Total Liabilities and Net Equity</t>
  </si>
  <si>
    <t>Atualização da provisão  para abandono de poços</t>
  </si>
  <si>
    <t># Projects- Workover</t>
  </si>
  <si>
    <t># Projects- Drillwells</t>
  </si>
  <si>
    <t>#</t>
  </si>
  <si>
    <t>Capex- Gross WI</t>
  </si>
  <si>
    <t>Jul'22</t>
  </si>
  <si>
    <t xml:space="preserve">Taxes to collect </t>
  </si>
  <si>
    <t>Cash generated by (invested in) Investment activities</t>
  </si>
  <si>
    <t>Cash generated by (invested in) Financing Activities</t>
  </si>
  <si>
    <t>Caixa e equivalentes de caixa no início do período / exercício</t>
  </si>
  <si>
    <t>Caixa e equivalentes de caixa no fim do período / exercício</t>
  </si>
  <si>
    <t>111.93</t>
  </si>
  <si>
    <t>Contratos Firmes Gás Seco | Dry Gas Firm Contracts</t>
  </si>
  <si>
    <t>3T22 / 3Q22</t>
  </si>
  <si>
    <t>100.45</t>
  </si>
  <si>
    <t>89.76</t>
  </si>
  <si>
    <t>Ago'22</t>
  </si>
  <si>
    <t>Set'22</t>
  </si>
  <si>
    <t>TAG</t>
  </si>
  <si>
    <t>Unigel</t>
  </si>
  <si>
    <t>3T22</t>
  </si>
  <si>
    <t>4T22</t>
  </si>
  <si>
    <t>Out'22</t>
  </si>
  <si>
    <t>Nov'22</t>
  </si>
  <si>
    <t>Dez'22</t>
  </si>
  <si>
    <t>Perdas de crédito esperadas</t>
  </si>
  <si>
    <t>Ativo Potiguar</t>
  </si>
  <si>
    <t>R$ MM</t>
  </si>
  <si>
    <t>M Bbl</t>
  </si>
  <si>
    <t>US$ / Bbl</t>
  </si>
  <si>
    <t>US$ / MMBTU</t>
  </si>
  <si>
    <t>Oil</t>
  </si>
  <si>
    <t xml:space="preserve">Petróleo </t>
  </si>
  <si>
    <t>Gas</t>
  </si>
  <si>
    <t>Preço de Realização | Realization Price</t>
  </si>
  <si>
    <t>93.33</t>
  </si>
  <si>
    <t>Expected credit losses</t>
  </si>
  <si>
    <t>Adições ao imobilizado e intangível</t>
  </si>
  <si>
    <t>Additions to assets and intangible</t>
  </si>
  <si>
    <t>Sergas</t>
  </si>
  <si>
    <t>  2023</t>
  </si>
  <si>
    <t>82.50</t>
  </si>
  <si>
    <t>91.42</t>
  </si>
  <si>
    <t>80.92</t>
  </si>
  <si>
    <t>Jan'23</t>
  </si>
  <si>
    <t>Fev'23</t>
  </si>
  <si>
    <t>Mar'23</t>
  </si>
  <si>
    <t>Abr'23</t>
  </si>
  <si>
    <t>Mai'23</t>
  </si>
  <si>
    <t>Jun'23</t>
  </si>
  <si>
    <t>Jul'23</t>
  </si>
  <si>
    <t>Ago'23</t>
  </si>
  <si>
    <t>Set'23</t>
  </si>
  <si>
    <t>Out'23</t>
  </si>
  <si>
    <t>Nov'23</t>
  </si>
  <si>
    <t>Dez'23</t>
  </si>
  <si>
    <t>Preço fixo + % variável brent</t>
  </si>
  <si>
    <t>Preço Fixo reajustado por CPI</t>
  </si>
  <si>
    <t>Percentual de Brent</t>
  </si>
  <si>
    <t>Percentual de Brent / Piso e teto fixados / reajustados anualmente por CPI</t>
  </si>
  <si>
    <t>Dividendos e juros sobre capital próprio a pagar</t>
  </si>
  <si>
    <t>4T22 / 4Q22</t>
  </si>
  <si>
    <t>2022</t>
  </si>
  <si>
    <t>Variação do caixa resultante das atividades operacionais</t>
  </si>
  <si>
    <t>Variação do caixa resultante das atividades de investimento</t>
  </si>
  <si>
    <t>Variação do caixa resultante das atividades de financiamento</t>
  </si>
  <si>
    <t>Variação do Saldo de Caixa e Equivalentes de Caixa</t>
  </si>
  <si>
    <t>Dividendos e juros sobre capital próprio pagos</t>
  </si>
  <si>
    <t>Resultado antes dos impostos sobre o lucro</t>
  </si>
  <si>
    <t>Impostos sobre Receita</t>
  </si>
  <si>
    <t>Tiêta</t>
  </si>
  <si>
    <t>1T23 / 1Q23</t>
  </si>
  <si>
    <t>Serviços e Materiais</t>
  </si>
  <si>
    <t>Services and Materials</t>
  </si>
  <si>
    <t>Escoamento de gás</t>
  </si>
  <si>
    <t>Processamento de gás</t>
  </si>
  <si>
    <t>Transporte de gás</t>
  </si>
  <si>
    <t>78.43</t>
  </si>
  <si>
    <t>84.64</t>
  </si>
  <si>
    <t>Aquisição da SPE Tieta, líquida do caixa recebido</t>
  </si>
  <si>
    <t>Receita Bruta de Venda de Petróleo</t>
  </si>
  <si>
    <t>Receita Bruta de Venda de Gás e subprodutos</t>
  </si>
  <si>
    <t>Receita Bruta de Produtos Vendidos</t>
  </si>
  <si>
    <t>Gross Revenue from Products Sold</t>
  </si>
  <si>
    <t>Receita Líquida de Venda de Petróleo</t>
  </si>
  <si>
    <t>Receita Líquida de Venda de Gás e subprodutos</t>
  </si>
  <si>
    <t>Impostos sobre Venda de Petróleo</t>
  </si>
  <si>
    <t>Impostos sobre  Venda de Gás e subprodutos</t>
  </si>
  <si>
    <t>Taxes on Oil Sales Income</t>
  </si>
  <si>
    <t>Taxes on Gas and by-products Income</t>
  </si>
  <si>
    <t xml:space="preserve">Gross Revenue from Oil Sales </t>
  </si>
  <si>
    <t>Gross Revenue from Gas and by-products Sales</t>
  </si>
  <si>
    <t>Gross Revenue from Services Provided</t>
  </si>
  <si>
    <t xml:space="preserve">Net Revenue from Oil Sales </t>
  </si>
  <si>
    <t>Net Revenue from Gas and by-products Sales</t>
  </si>
  <si>
    <t>1. Demonstrações Financeiras</t>
  </si>
  <si>
    <t>1.1. Balanço Patrimonial | Balance Sheet</t>
  </si>
  <si>
    <t>1.2. Demonstração de Resultados (Resumida) |  Income Statement (Summary)</t>
  </si>
  <si>
    <t>1.3. Demonstração de Resultados (Detalhada) |  Income Statement (Detailed)</t>
  </si>
  <si>
    <t>1.4. Fluxo de Caixa | Cash Flow</t>
  </si>
  <si>
    <t>2. Outras referência financeiras</t>
  </si>
  <si>
    <t>2.1 Preço de Realização | Realization Price</t>
  </si>
  <si>
    <t>2.2. Custo Operacional | Lifting Cost</t>
  </si>
  <si>
    <t xml:space="preserve">2.3. Referências de Preço de Petróleo | Oil Price Reference </t>
  </si>
  <si>
    <t>2.5. Contratos Firmes Gás Seco | Dry Gas Firm Contracts</t>
  </si>
  <si>
    <t xml:space="preserve">3. Produção </t>
  </si>
  <si>
    <t>3.1. Produção de Titularidade da Companhia | Working Interest Production</t>
  </si>
  <si>
    <t>4.1. Reservas de Participação Bruta | Gross Working Interest Reserves</t>
  </si>
  <si>
    <t>4.3. Deduções e Despesas Líquidas | Deductions and Net Expenses</t>
  </si>
  <si>
    <t>75.47</t>
  </si>
  <si>
    <t>74.84</t>
  </si>
  <si>
    <t>Em milhões de boe | In millions of boe</t>
  </si>
  <si>
    <t>Em boe por dia | In boe per day</t>
  </si>
  <si>
    <t>Gas Purchase</t>
  </si>
  <si>
    <t>Gas Outflow</t>
  </si>
  <si>
    <t>Gas Processing</t>
  </si>
  <si>
    <t>Gas Transport</t>
  </si>
  <si>
    <t>2T23 / 2Q23</t>
  </si>
  <si>
    <t>Copergás</t>
  </si>
  <si>
    <t>Fórmula de Preço</t>
  </si>
  <si>
    <t>Caixa líquido da compra e venda de ações em tesouraria</t>
  </si>
  <si>
    <t>Integralização de capital social subscrito</t>
  </si>
  <si>
    <t>Aplicações financeiras</t>
  </si>
  <si>
    <t>80.11</t>
  </si>
  <si>
    <t>Gás Natural de Combustivel</t>
  </si>
  <si>
    <t xml:space="preserve">Gás Natural C3+ </t>
  </si>
  <si>
    <t>Natural Gas C3+</t>
  </si>
  <si>
    <t xml:space="preserve">Gás Natural C5+ </t>
  </si>
  <si>
    <t>Natural Gas C5+</t>
  </si>
  <si>
    <t>Pis e Cofins Monofásico 0%</t>
  </si>
  <si>
    <t>Pis and Cofins Monophasic 0%</t>
  </si>
  <si>
    <t>Combustible Natural Gas</t>
  </si>
  <si>
    <t>Gás Liquefeito de Petróleo – GLP e GLP (P13)</t>
  </si>
  <si>
    <t>Liquefied Petroleum Gas - LPG and LPG (P13)</t>
  </si>
  <si>
    <t xml:space="preserve">Gás Natural de Combustivel </t>
  </si>
  <si>
    <t>Gás Rico</t>
  </si>
  <si>
    <t>Rich Gas</t>
  </si>
  <si>
    <t>Gás Natural Seco</t>
  </si>
  <si>
    <t>Dry Natural Gas</t>
  </si>
  <si>
    <t>1T22</t>
  </si>
  <si>
    <t>2T22</t>
  </si>
  <si>
    <t>1T23</t>
  </si>
  <si>
    <t>2T23</t>
  </si>
  <si>
    <t>Gás Rico Produzido - Upstream</t>
  </si>
  <si>
    <t>Potiguar Asset</t>
  </si>
  <si>
    <t>Mm3</t>
  </si>
  <si>
    <t>Ativo Bahia / Sergipe</t>
  </si>
  <si>
    <t>Bahia / Sergipe Asset</t>
  </si>
  <si>
    <t>Total Gás Rico Produzido</t>
  </si>
  <si>
    <t>Total Rich Gas Produced</t>
  </si>
  <si>
    <t>Aproveitamento</t>
  </si>
  <si>
    <t>%</t>
  </si>
  <si>
    <r>
      <t>Mm</t>
    </r>
    <r>
      <rPr>
        <vertAlign val="superscript"/>
        <sz val="8.1"/>
        <color theme="0" tint="-0.499984740745262"/>
        <rFont val="Calibri"/>
        <family val="2"/>
      </rPr>
      <t>3</t>
    </r>
  </si>
  <si>
    <t>Preço de Realização</t>
  </si>
  <si>
    <t>Preço de Realização incl. Transporte</t>
  </si>
  <si>
    <t>Realization Price incl. Transport</t>
  </si>
  <si>
    <t>R$ / m3</t>
  </si>
  <si>
    <t>Taxa dólar médio</t>
  </si>
  <si>
    <t>Average dollar rate</t>
  </si>
  <si>
    <t>R$ / US$</t>
  </si>
  <si>
    <t>Premissas</t>
  </si>
  <si>
    <t>Brent médio</t>
  </si>
  <si>
    <t>Average Brent Oil</t>
  </si>
  <si>
    <t>US$ / bbl</t>
  </si>
  <si>
    <t xml:space="preserve">Excluding ICMS in the Pis/Cofins Calculation Base </t>
  </si>
  <si>
    <t xml:space="preserve">12% / 19% </t>
  </si>
  <si>
    <t xml:space="preserve">Os impostos sobre a receita são “grossapados” e as alíquotas podem variar de acordo com o Estado onde os produtos são comercializados| Revenue taxes are gross up and rates may vary depending on the State where the products are marketed.  </t>
  </si>
  <si>
    <t>Conversion m3 to MMBTU*</t>
  </si>
  <si>
    <t>Conversão m3 para MMBTU*</t>
  </si>
  <si>
    <t>* Conversão pode variar conforme poder calorifico do gás natural | Conversion may vary from natural gas calorific value</t>
  </si>
  <si>
    <t>Receita Líquida excluindo efeito do hedge</t>
  </si>
  <si>
    <t xml:space="preserve">Net Revenue excluding hedge effect </t>
  </si>
  <si>
    <r>
      <t>Preço médio de Venda</t>
    </r>
    <r>
      <rPr>
        <vertAlign val="superscript"/>
        <sz val="10"/>
        <rFont val="Calibri"/>
        <family val="2"/>
        <scheme val="minor"/>
      </rPr>
      <t xml:space="preserve"> </t>
    </r>
  </si>
  <si>
    <t>Average Sales Price</t>
  </si>
  <si>
    <t xml:space="preserve">Preço de Realização excluindo efeito do hedge </t>
  </si>
  <si>
    <t xml:space="preserve">Realization Price excluding hedge effect </t>
  </si>
  <si>
    <t>SPE Tieta Aquisition, net of cash received</t>
  </si>
  <si>
    <t>Financial aplications</t>
  </si>
  <si>
    <t>Payments of aquisitions to be paid</t>
  </si>
  <si>
    <t>Between Feb/2000 and December 23, 2021, the production of the Remanso Asset was governed by CPRC risk clause contract with Petrobras</t>
  </si>
  <si>
    <t>Entre Fev/2000 e 23/Dezembro/2021 a produção do Ativo Remanso era regida pelo Contrato CPRC com a Petrobrás</t>
  </si>
  <si>
    <t>Impostos e Benefícios | Taxes &amp; Benefits</t>
  </si>
  <si>
    <t>SUDENE</t>
  </si>
  <si>
    <t>Benefício Fiscal</t>
  </si>
  <si>
    <t>As alíquotas médias refletidas nos resultados trimestrais da Companhia poderão variar de acordo com os volumes de produção destinados para cada contrato da Companhia. | The average rates reflected in the Company's quarterly results may vary according to the production</t>
  </si>
  <si>
    <t xml:space="preserve"> volumes allocated to each company's contract.</t>
  </si>
  <si>
    <t>Subsidiária</t>
  </si>
  <si>
    <t>Prazo</t>
  </si>
  <si>
    <t>86.15</t>
  </si>
  <si>
    <t>PetroReconcavo S.A.</t>
  </si>
  <si>
    <t xml:space="preserve"> até o exercício de 2032</t>
  </si>
  <si>
    <t>2.4. Impostos e Benefícios | Taxes &amp; Benefits</t>
  </si>
  <si>
    <t>3T23 / 3Q23</t>
  </si>
  <si>
    <t>9M23</t>
  </si>
  <si>
    <t>Gerais, vendas e administrativas</t>
  </si>
  <si>
    <t>93.72</t>
  </si>
  <si>
    <t>90.60</t>
  </si>
  <si>
    <r>
      <t>SPE TIETA</t>
    </r>
    <r>
      <rPr>
        <sz val="11"/>
        <color theme="1"/>
        <rFont val="Calibri"/>
        <family val="2"/>
        <scheme val="minor"/>
      </rPr>
      <t xml:space="preserve"> (Tiê) </t>
    </r>
  </si>
  <si>
    <r>
      <t>SPE TIETA</t>
    </r>
    <r>
      <rPr>
        <sz val="11"/>
        <color theme="1"/>
        <rFont val="Calibri"/>
        <family val="2"/>
        <scheme val="minor"/>
      </rPr>
      <t xml:space="preserve"> (Tartaruga) </t>
    </r>
  </si>
  <si>
    <t>Juros, amortização de captação e variações cambiais líquidas</t>
  </si>
  <si>
    <t>Baixas do imobilizado, de arrendamentos e outras</t>
  </si>
  <si>
    <t>Pagamento de valores a pagar por aquisições</t>
  </si>
  <si>
    <t>Compra/"Swap" de gás</t>
  </si>
  <si>
    <t>Vendas</t>
  </si>
  <si>
    <t>Sales</t>
  </si>
  <si>
    <t>3T23</t>
  </si>
  <si>
    <t>Adições</t>
  </si>
  <si>
    <t>Transferências</t>
  </si>
  <si>
    <t>Subtotal</t>
  </si>
  <si>
    <t>Baixas</t>
  </si>
  <si>
    <t>Demais ativos fixos e intangíveis</t>
  </si>
  <si>
    <t>Máquinas e equipamentos</t>
  </si>
  <si>
    <t>Depreciação, amortização e depleção</t>
  </si>
  <si>
    <t>Direito de produção de óleo e gás - Amortização</t>
  </si>
  <si>
    <t>Custo - Intangível</t>
  </si>
  <si>
    <t>Amortização</t>
  </si>
  <si>
    <t>Total do imobilizado e intangível</t>
  </si>
  <si>
    <t>Capex | Ativo Imobilizado e Intangível</t>
  </si>
  <si>
    <t>Tabela de Conversão | Conversion Table</t>
  </si>
  <si>
    <t xml:space="preserve">De MMBTU p/ m³: multiplica por </t>
  </si>
  <si>
    <t xml:space="preserve">De MMCF p/ MBOE: divide por </t>
  </si>
  <si>
    <t>De Mm³ p/ MMBTU divide por</t>
  </si>
  <si>
    <t>2.6. Tabela de Conversão | Conversion Table</t>
  </si>
  <si>
    <t>Jan'24</t>
  </si>
  <si>
    <t>Tributos a recuperar</t>
  </si>
  <si>
    <t>Valores a pagar de aquisições</t>
  </si>
  <si>
    <t>Provisão para processos judiciais</t>
  </si>
  <si>
    <t>Provision for legal proceedings</t>
  </si>
  <si>
    <t>82.94</t>
  </si>
  <si>
    <t>77.63</t>
  </si>
  <si>
    <t>  2024</t>
  </si>
  <si>
    <t>80.12</t>
  </si>
  <si>
    <t>82.59</t>
  </si>
  <si>
    <t xml:space="preserve">De m³ p/ BOE (Óleo) : multiplica por </t>
  </si>
  <si>
    <t xml:space="preserve">De Mm³ p/ BOE (Gás): multiplica por </t>
  </si>
  <si>
    <t>4T23 / 4Q23</t>
  </si>
  <si>
    <r>
      <t>Financial I</t>
    </r>
    <r>
      <rPr>
        <sz val="10"/>
        <rFont val="Calibri"/>
        <family val="2"/>
      </rPr>
      <t>ncome</t>
    </r>
  </si>
  <si>
    <t>Depreciation, amortization and depletion</t>
  </si>
  <si>
    <t>Perdas de Crédito Esperada</t>
  </si>
  <si>
    <t>Valor justo dos instrumentos financeiros derivativos no resultado</t>
  </si>
  <si>
    <t>Provisões, perdas estimadas e outros</t>
  </si>
  <si>
    <t>Provisions, estimated losses and others</t>
  </si>
  <si>
    <t>Pagamento de processos judicias</t>
  </si>
  <si>
    <t>Adições, líquidas dos custos de captação</t>
  </si>
  <si>
    <t>Additions, net of funding costs</t>
  </si>
  <si>
    <t>Payment of subscribed share capital</t>
  </si>
  <si>
    <t>Dividends and interest on equity paid</t>
  </si>
  <si>
    <t>Custo para emissão de ações</t>
  </si>
  <si>
    <t>Net cash from the purchase and sale of treasury shares</t>
  </si>
  <si>
    <t>4T23</t>
  </si>
  <si>
    <t>2023</t>
  </si>
  <si>
    <t>Imobilizado</t>
  </si>
  <si>
    <t>Outros</t>
  </si>
  <si>
    <t>Desenvolvimento de campos</t>
  </si>
  <si>
    <t>Abandono de poço</t>
  </si>
  <si>
    <t>Adiantamentos</t>
  </si>
  <si>
    <t>Máquinas e equipamentos - depreciação</t>
  </si>
  <si>
    <t>Desenvolvimento de campos - Amortização</t>
  </si>
  <si>
    <t>Software</t>
  </si>
  <si>
    <t>Software - amortização</t>
  </si>
  <si>
    <t>Desenvolvimento de Reservas</t>
  </si>
  <si>
    <t>Almoxarifado para inversões fixas</t>
  </si>
  <si>
    <t>1T24</t>
  </si>
  <si>
    <t>2T24</t>
  </si>
  <si>
    <t>3T24</t>
  </si>
  <si>
    <t>4T24</t>
  </si>
  <si>
    <t>1T25</t>
  </si>
  <si>
    <t>Histórico de Hedge | Hedge History</t>
  </si>
  <si>
    <t>Volume</t>
  </si>
  <si>
    <t>Preço | Price</t>
  </si>
  <si>
    <t>Mbbl</t>
  </si>
  <si>
    <t>(US$/ bbl)</t>
  </si>
  <si>
    <t>1Q21</t>
  </si>
  <si>
    <t>2Q21</t>
  </si>
  <si>
    <t>3Q21</t>
  </si>
  <si>
    <t>4Q21</t>
  </si>
  <si>
    <t>1Q22</t>
  </si>
  <si>
    <t>2Q22</t>
  </si>
  <si>
    <t>3Q22</t>
  </si>
  <si>
    <t>4Q22</t>
  </si>
  <si>
    <t>1Q23</t>
  </si>
  <si>
    <t>2Q23</t>
  </si>
  <si>
    <t>3Q23</t>
  </si>
  <si>
    <t>4Q23</t>
  </si>
  <si>
    <t>1Q24</t>
  </si>
  <si>
    <t>2Q24</t>
  </si>
  <si>
    <t>3Q24</t>
  </si>
  <si>
    <t>4Q24</t>
  </si>
  <si>
    <t>2.7. Histórico de Hedge | Hedge History</t>
  </si>
  <si>
    <t>Preço | Price (US$ / bbl)</t>
  </si>
  <si>
    <t>Put</t>
  </si>
  <si>
    <t>Call</t>
  </si>
  <si>
    <t>Fev'24</t>
  </si>
  <si>
    <t>Mar'24</t>
  </si>
  <si>
    <t>Bahia</t>
  </si>
  <si>
    <t>1P</t>
  </si>
  <si>
    <t>2P</t>
  </si>
  <si>
    <t>Notas</t>
  </si>
  <si>
    <t>1- Reservas Brutas de participação da Companhia em Milhões de BOE conforme relatório da NSAI</t>
  </si>
  <si>
    <t>2- Relação de conversão do gás natural - 6 mil pés cúbicos para 1 barril equivalente, conforme relatório da NSAI</t>
  </si>
  <si>
    <t>3 - Contempla 54 concessões operadas e participação em 2 concessões operadas por parceiros nos estados da Bahia e Rio Grande do Norte. Não inclui o campo de Tartaruga.</t>
  </si>
  <si>
    <t>Receita Líquida  Total</t>
  </si>
  <si>
    <t>Óleo</t>
  </si>
  <si>
    <t>NGL</t>
  </si>
  <si>
    <t>C5+</t>
  </si>
  <si>
    <t>Pis/Cofins</t>
  </si>
  <si>
    <t xml:space="preserve">4.2. Receita Bruta e Líquida por Produto | Gross and Net Revenue by Product </t>
  </si>
  <si>
    <t>83.48</t>
  </si>
  <si>
    <t>85.41</t>
  </si>
  <si>
    <t>1T24 / 1Q24</t>
  </si>
  <si>
    <t>Sales, general and administrative</t>
  </si>
  <si>
    <t>Receita Bruta de Prestação de Serviços</t>
  </si>
  <si>
    <t>Receita Líquida  de Prestação de Serviços</t>
  </si>
  <si>
    <t>Contraprestação de parcela contingente de valores a pagar de aquisições</t>
  </si>
  <si>
    <t>Consideration of contingent portion of amounts payable for acquisitions</t>
  </si>
  <si>
    <t>Pagamento de contratos de hedge</t>
  </si>
  <si>
    <t>Cost for issuing shares</t>
  </si>
  <si>
    <t>1.5. Capex | Ativo Imobilizado e Intangível</t>
  </si>
  <si>
    <t>Capex Total</t>
  </si>
  <si>
    <t>Perfuração</t>
  </si>
  <si>
    <t>Workovers</t>
  </si>
  <si>
    <t>Facilidades</t>
  </si>
  <si>
    <t>Abandono de poços - Amortização</t>
  </si>
  <si>
    <t>89.94</t>
  </si>
  <si>
    <t>1T26</t>
  </si>
  <si>
    <t>2T25</t>
  </si>
  <si>
    <t>3T25</t>
  </si>
  <si>
    <t>4T25</t>
  </si>
  <si>
    <t>Produção Entregue</t>
  </si>
  <si>
    <t xml:space="preserve">Delivered Production </t>
  </si>
  <si>
    <t>Gás Rico Entregue</t>
  </si>
  <si>
    <t>Total Gás Rico Entregue</t>
  </si>
  <si>
    <t>Total Rich Gas Delivered</t>
  </si>
  <si>
    <t>Abr'24</t>
  </si>
  <si>
    <t>Mai'24</t>
  </si>
  <si>
    <t>2T24 / 2Q24</t>
  </si>
  <si>
    <t>1S24/1H24</t>
  </si>
  <si>
    <t>3T24 / 3Q24</t>
  </si>
  <si>
    <t>9M24/9M24</t>
  </si>
  <si>
    <t>4T24 / 4Q24</t>
  </si>
  <si>
    <t>Contas a receber de clientes LP</t>
  </si>
  <si>
    <r>
      <t xml:space="preserve">Tributos a Recuperar </t>
    </r>
    <r>
      <rPr>
        <sz val="10"/>
        <color theme="0"/>
        <rFont val="Calibri"/>
        <family val="2"/>
        <scheme val="minor"/>
      </rPr>
      <t>alp</t>
    </r>
  </si>
  <si>
    <t>Debêntures cp</t>
  </si>
  <si>
    <t>Debentures</t>
  </si>
  <si>
    <t>Debêntures LP</t>
  </si>
  <si>
    <t>Fornecedores LP</t>
  </si>
  <si>
    <t>Empréstimos e financiamentos lp</t>
  </si>
  <si>
    <t>Valores a pagar de arrendamentos lp</t>
  </si>
  <si>
    <t>Instrumentos financeiros derivativos plp</t>
  </si>
  <si>
    <t>Provisão para abandono de poços lp</t>
  </si>
  <si>
    <t>9M24</t>
  </si>
  <si>
    <t>1S24</t>
  </si>
  <si>
    <t>Jun'24</t>
  </si>
  <si>
    <t>Jul'24</t>
  </si>
  <si>
    <t>81.75</t>
  </si>
  <si>
    <t>82.25</t>
  </si>
  <si>
    <t>85.15</t>
  </si>
  <si>
    <t>Ativo Bahia / Sergipe
BA / SE Asset</t>
  </si>
  <si>
    <t xml:space="preserve">Com exclusão do ICMS na Base de Cálculo do Pis/ Cofins </t>
  </si>
  <si>
    <t xml:space="preserve">Excluding ICMS in the Pis/Cofins Calculation Base
</t>
  </si>
  <si>
    <t>Gás Liquefeito de Petróleo – GLP (P13)</t>
  </si>
  <si>
    <t>Liquefied Petroleum Gas - LPG (P13)</t>
  </si>
  <si>
    <t>Gás Liquefeito de Petróleo – GLP</t>
  </si>
  <si>
    <t>Liquefied Petroleum Gas - LPG</t>
  </si>
  <si>
    <t>R$ 167,70 por Ton</t>
  </si>
  <si>
    <t>ICMS Diferido na BA e RN / SE venda interestadual</t>
  </si>
  <si>
    <t>ICMS Deferred in BA and RN / interstate sell from SE</t>
  </si>
  <si>
    <t>SWAP</t>
  </si>
  <si>
    <t>Collar</t>
  </si>
  <si>
    <t>Total Instrumentos Financeiros</t>
  </si>
  <si>
    <t>Emissão de debêntures, líquidas dos custos de captação</t>
  </si>
  <si>
    <t>Consolidado</t>
  </si>
  <si>
    <t>USD/boe</t>
  </si>
  <si>
    <t>Consolidated</t>
  </si>
  <si>
    <t>Bahia Asset</t>
  </si>
  <si>
    <t>Ativo Bahia</t>
  </si>
  <si>
    <t>Lucros (Prejuízos) acumulados</t>
  </si>
  <si>
    <t>Baixas*</t>
  </si>
  <si>
    <t>80.36</t>
  </si>
  <si>
    <t>74.02</t>
  </si>
  <si>
    <t>Ago-24</t>
  </si>
  <si>
    <t>Set-24</t>
  </si>
  <si>
    <t>Oct-24</t>
  </si>
  <si>
    <t>Impostos sobre  Prestação de Serviços</t>
  </si>
  <si>
    <t>Taxes on Services Provided</t>
  </si>
  <si>
    <t>Nov'24</t>
  </si>
  <si>
    <t>Marcação a Marcado sem Efeito Caixa</t>
  </si>
  <si>
    <t>Imposto diferido MTM</t>
  </si>
  <si>
    <t>Lucro Líquido Ajustado</t>
  </si>
  <si>
    <t>ZCC old Contracts</t>
  </si>
  <si>
    <t>ZCC new contracts</t>
  </si>
  <si>
    <t>1Q25</t>
  </si>
  <si>
    <t>2Q25</t>
  </si>
  <si>
    <t>3Q25</t>
  </si>
  <si>
    <t>Fator de Conversão MCF x BOE</t>
  </si>
  <si>
    <t>Netherland, Sewell and Associates, Inc. -  data base 31/dez/2024</t>
  </si>
  <si>
    <t>Total 2024 Reserve Report</t>
  </si>
  <si>
    <t>Mdstrm</t>
  </si>
  <si>
    <t>Upstrm</t>
  </si>
  <si>
    <t>OPEX</t>
  </si>
  <si>
    <t>Total - 2024 Reserve Report</t>
  </si>
  <si>
    <t>Deduções e Despesas Líquidas- Certificação de Reservas Dez'24 | Deductions and Net Expenses- Reserve Certification Dec'24</t>
  </si>
  <si>
    <t>1P - 2024 Reserve Report</t>
  </si>
  <si>
    <t>2P - 2024 Reserve Report</t>
  </si>
  <si>
    <t>4. Certificação de Reservas | Reserve Certification (NSAI data base 31/12/2024)</t>
  </si>
  <si>
    <t>Capex</t>
  </si>
  <si>
    <t>US$ million</t>
  </si>
  <si>
    <t>Proved (1P)</t>
  </si>
  <si>
    <t>Proved + Probable (2P)</t>
  </si>
  <si>
    <t>R$ 792,50 por M³</t>
  </si>
  <si>
    <t>Pis e Cofins Monofásico R$ 792,50/M³ (ad rem)</t>
  </si>
  <si>
    <t>Pis and Cofins Monophasic R$ 792,50/M³ (ad rem)</t>
  </si>
  <si>
    <t>Pis e Cofins Monofásico R$ 167,70/Ton (ad rem)</t>
  </si>
  <si>
    <t>Pis and Cofins Monophasic R$ 167,70/Ton (ad rem)</t>
  </si>
  <si>
    <t>12%  Bahia e SE venda interestadual, 19% SE  | 
Potiguar: Potigás 0% / Interestadual 12% / Venda RN 20%</t>
  </si>
  <si>
    <t>0% / 12% / 20%</t>
  </si>
  <si>
    <t>ICMS Monofásico (ad rem)</t>
  </si>
  <si>
    <t>ICMS Monophasic (ad rem)</t>
  </si>
  <si>
    <t>Dez'24</t>
  </si>
  <si>
    <t>Jan'25</t>
  </si>
  <si>
    <t>Fev'25</t>
  </si>
  <si>
    <t>Mar'25</t>
  </si>
  <si>
    <t>Abr'25</t>
  </si>
  <si>
    <t>75.63</t>
  </si>
  <si>
    <t>74.35</t>
  </si>
  <si>
    <t>73.86</t>
  </si>
  <si>
    <t>79.27</t>
  </si>
  <si>
    <t>75.44</t>
  </si>
  <si>
    <t>72.73</t>
  </si>
  <si>
    <t>68.13</t>
  </si>
  <si>
    <t>Mai'25</t>
  </si>
  <si>
    <t>2029-33</t>
  </si>
  <si>
    <t>1S25</t>
  </si>
  <si>
    <t>Jun'25</t>
  </si>
  <si>
    <t>Jul'25</t>
  </si>
  <si>
    <t>4Q25</t>
  </si>
  <si>
    <t>1Q26</t>
  </si>
  <si>
    <t>2Q26</t>
  </si>
  <si>
    <t>3Q26</t>
  </si>
  <si>
    <t>4Q26</t>
  </si>
  <si>
    <t>1T21</t>
  </si>
  <si>
    <t>2T21</t>
  </si>
  <si>
    <t>3T21</t>
  </si>
  <si>
    <t>4T21</t>
  </si>
  <si>
    <t>2021</t>
  </si>
  <si>
    <t>2024</t>
  </si>
  <si>
    <t>9M25</t>
  </si>
  <si>
    <t>UPGN Gumaré</t>
  </si>
  <si>
    <t>Investimentos em Midstream</t>
  </si>
  <si>
    <t>Blocos Exploratórios</t>
  </si>
  <si>
    <t>R$ Milhões</t>
  </si>
  <si>
    <t>Parcela Pendente</t>
  </si>
  <si>
    <t>12%  Bahia ou SE Interstate Sale, 19% SE  | 
Potiguar: Potigás 0% / Interstate 12% / Sale RN 20%</t>
  </si>
  <si>
    <t>12%  Bahia e SE venda interestadual, 19% SE</t>
  </si>
  <si>
    <t>12%  Bahia ou SE Interstate Sale, 19% SE</t>
  </si>
  <si>
    <t>Ago'25</t>
  </si>
  <si>
    <t>Set'25</t>
  </si>
  <si>
    <t>Out'25</t>
  </si>
  <si>
    <t>Nov'25</t>
  </si>
  <si>
    <t>Dez'25</t>
  </si>
  <si>
    <t>4.4. Capex por Ativo | Capex by Asset</t>
  </si>
  <si>
    <t>Dividendos a pagar</t>
  </si>
  <si>
    <t>Payable Dividends</t>
  </si>
  <si>
    <t>Pagamento (Recebimento) de Derivativos</t>
  </si>
  <si>
    <t>Reversão da provisão de abandono de poços</t>
  </si>
  <si>
    <t>Jan'26</t>
  </si>
  <si>
    <t>Fev'26</t>
  </si>
  <si>
    <t>Abaixo Referência de Preços em 31/Dezembro/2025, base do  Relatório de Certificação de Reservas</t>
  </si>
  <si>
    <t>Below Price Reference on December 31, 2025, basis of the Reserves Certification Report</t>
  </si>
  <si>
    <t>Futures Daily Market Report for ICE Brent Futures -  31-Dec-2025</t>
  </si>
  <si>
    <t>UPGN Guamaré</t>
  </si>
  <si>
    <t>Consolidado em 31/12/2025</t>
  </si>
  <si>
    <t>UPGN Gumaré - depreciação</t>
  </si>
  <si>
    <t>Outros Resultados Abrangentes</t>
  </si>
  <si>
    <r>
      <t xml:space="preserve">Petróleo | Oil
</t>
    </r>
    <r>
      <rPr>
        <b/>
        <sz val="10"/>
        <color theme="0"/>
        <rFont val="Calibri"/>
        <family val="2"/>
      </rPr>
      <t>MMBOE</t>
    </r>
  </si>
  <si>
    <r>
      <t xml:space="preserve">Gás | Gas
</t>
    </r>
    <r>
      <rPr>
        <b/>
        <sz val="10"/>
        <color theme="0"/>
        <rFont val="Calibri"/>
        <family val="2"/>
      </rPr>
      <t>MMBOE</t>
    </r>
  </si>
  <si>
    <r>
      <t xml:space="preserve">Total
</t>
    </r>
    <r>
      <rPr>
        <b/>
        <sz val="10"/>
        <color theme="0"/>
        <rFont val="Calibri"/>
        <family val="2"/>
      </rPr>
      <t>MMBOE</t>
    </r>
  </si>
  <si>
    <r>
      <t xml:space="preserve">Petróleo |Oil
</t>
    </r>
    <r>
      <rPr>
        <b/>
        <sz val="10"/>
        <color theme="0"/>
        <rFont val="Calibri"/>
        <family val="2"/>
      </rPr>
      <t>MMBOE</t>
    </r>
  </si>
  <si>
    <r>
      <t xml:space="preserve">Gás
</t>
    </r>
    <r>
      <rPr>
        <b/>
        <sz val="10"/>
        <color theme="0"/>
        <rFont val="Calibri"/>
        <family val="2"/>
      </rPr>
      <t>MMBOE</t>
    </r>
  </si>
  <si>
    <t>Mar'26</t>
  </si>
  <si>
    <t>Inventory for capital expenditures</t>
  </si>
  <si>
    <t>Depreciação de arrendamento mercantil</t>
  </si>
  <si>
    <t>Lease right of use depreciation</t>
  </si>
  <si>
    <t>Swap - MTM Deferred Tax</t>
  </si>
  <si>
    <t>Market to Market Variation w/o cash effect</t>
  </si>
  <si>
    <t>Adjusted Net Income (Loss)</t>
  </si>
  <si>
    <r>
      <t>Capex 1T26</t>
    </r>
    <r>
      <rPr>
        <b/>
        <sz val="9"/>
        <color rgb="FF92D050"/>
        <rFont val="Quatro"/>
        <family val="2"/>
      </rPr>
      <t xml:space="preserve"> </t>
    </r>
    <r>
      <rPr>
        <sz val="9"/>
        <color theme="0"/>
        <rFont val="Quatro"/>
        <family val="2"/>
      </rPr>
      <t>(em R$ MM)</t>
    </r>
  </si>
  <si>
    <r>
      <t>Capex</t>
    </r>
    <r>
      <rPr>
        <b/>
        <sz val="12"/>
        <color theme="2" tint="-0.499984740745262"/>
        <rFont val="Quatro"/>
        <family val="2"/>
      </rPr>
      <t xml:space="preserve"> </t>
    </r>
    <r>
      <rPr>
        <sz val="12"/>
        <color theme="2" tint="-0.499984740745262"/>
        <rFont val="Quatro"/>
        <family val="2"/>
      </rPr>
      <t>(R$ Milhões)</t>
    </r>
  </si>
  <si>
    <r>
      <t xml:space="preserve">Imobilizados em andamento </t>
    </r>
    <r>
      <rPr>
        <b/>
        <sz val="12"/>
        <color theme="1" tint="0.14999847407452621"/>
        <rFont val="Quatro"/>
        <family val="2"/>
      </rPr>
      <t>(iv)</t>
    </r>
  </si>
  <si>
    <r>
      <t xml:space="preserve">Direito de produção de óleo e gás </t>
    </r>
    <r>
      <rPr>
        <b/>
        <sz val="12"/>
        <color theme="1" tint="0.14999847407452621"/>
        <rFont val="Quatro"/>
        <family val="2"/>
      </rPr>
      <t>(i)</t>
    </r>
  </si>
  <si>
    <r>
      <t xml:space="preserve">Blocos exploratórios </t>
    </r>
    <r>
      <rPr>
        <b/>
        <sz val="12"/>
        <color theme="1" tint="0.14999847407452621"/>
        <rFont val="Quatro"/>
        <family val="2"/>
      </rPr>
      <t>(ii)</t>
    </r>
  </si>
  <si>
    <t>Almoxarifado para inversões fixas (iii)</t>
  </si>
  <si>
    <t>Parcelas Guamaré</t>
  </si>
  <si>
    <t>Pago em</t>
  </si>
  <si>
    <t>Signing</t>
  </si>
  <si>
    <t>CADE</t>
  </si>
  <si>
    <t xml:space="preserve">Closing </t>
  </si>
  <si>
    <t>Pós-closing</t>
  </si>
  <si>
    <t>Total parcelas pagas</t>
  </si>
  <si>
    <t>Total UPGN Guamaré</t>
  </si>
  <si>
    <t>2T26</t>
  </si>
  <si>
    <t>Consolidado em 30/06/2026</t>
  </si>
  <si>
    <t>1S26</t>
  </si>
  <si>
    <r>
      <t>Capex 2T26</t>
    </r>
    <r>
      <rPr>
        <b/>
        <sz val="9"/>
        <color rgb="FF92D050"/>
        <rFont val="Quatro"/>
        <family val="2"/>
      </rPr>
      <t xml:space="preserve"> </t>
    </r>
    <r>
      <rPr>
        <sz val="9"/>
        <color theme="0"/>
        <rFont val="Quatro"/>
        <family val="2"/>
      </rPr>
      <t>(em R$ MM)</t>
    </r>
  </si>
  <si>
    <r>
      <t>Capex</t>
    </r>
    <r>
      <rPr>
        <b/>
        <sz val="12"/>
        <color theme="2" tint="-0.499984740745262"/>
        <rFont val="Quatro"/>
        <family val="2"/>
      </rPr>
      <t xml:space="preserve"> </t>
    </r>
    <r>
      <rPr>
        <sz val="9"/>
        <color theme="0"/>
        <rFont val="Quatro"/>
        <family val="2"/>
      </rPr>
      <t>(R$ Milhões)</t>
    </r>
  </si>
  <si>
    <t>Δ%</t>
  </si>
  <si>
    <t xml:space="preserve">Subtotal Capex </t>
  </si>
  <si>
    <t>Investimentos em Midstream¹</t>
  </si>
  <si>
    <t>¹ Para o 2T26, o montante de R$ 10 milhões registrados na linha de investimentos em midstream não possui efeito caixa no período.</t>
  </si>
  <si>
    <r>
      <t>Capex 1S26</t>
    </r>
    <r>
      <rPr>
        <b/>
        <sz val="9"/>
        <color rgb="FF92D050"/>
        <rFont val="Quatro"/>
        <family val="2"/>
      </rPr>
      <t xml:space="preserve"> </t>
    </r>
    <r>
      <rPr>
        <sz val="9"/>
        <color theme="0"/>
        <rFont val="Quatro"/>
        <family val="2"/>
      </rPr>
      <t>(em R$ MM)</t>
    </r>
  </si>
  <si>
    <t>Drilling</t>
  </si>
  <si>
    <t>Facilities</t>
  </si>
  <si>
    <t>NDF new contracts</t>
  </si>
  <si>
    <t>3T26</t>
  </si>
  <si>
    <t>4T26</t>
  </si>
  <si>
    <t>1T27</t>
  </si>
  <si>
    <t>2T27</t>
  </si>
  <si>
    <t>3T27</t>
  </si>
  <si>
    <t>4T27</t>
  </si>
  <si>
    <t>1T28</t>
  </si>
  <si>
    <t>2T28</t>
  </si>
  <si>
    <t>NDF old contracts</t>
  </si>
  <si>
    <t>Abr'26</t>
  </si>
  <si>
    <t>Mai'26</t>
  </si>
  <si>
    <t>Jun'26</t>
  </si>
  <si>
    <t>R$ 1,47 por Kg</t>
  </si>
  <si>
    <t>Swap - Marcação a Mercado (MTM)</t>
  </si>
  <si>
    <t>Swap -  Apuração no período</t>
  </si>
  <si>
    <t>Collar - Marcação a Mercado (MTM)</t>
  </si>
  <si>
    <t>Collar - Apuração no período</t>
  </si>
  <si>
    <t>Jul'26</t>
  </si>
  <si>
    <t>Instrumentos financeiros derivativos alp</t>
  </si>
  <si>
    <t>1H24</t>
  </si>
  <si>
    <t>Ago'26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</si>
</sst>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4">
    <numFmt numFmtId="42" formatCode="_-&quot;R$&quot;\ * #,##0_-;\-&quot;R$&quot;\ * #,##0_-;_-&quot;R$&quot;\ * &quot;-&quot;_-;_-@_-"/>
    <numFmt numFmtId="41" formatCode="_-* #,##0_-;\-* #,##0_-;_-* &quot;-&quot;_-;_-@_-"/>
    <numFmt numFmtId="44" formatCode="_-&quot;R$&quot;\ * #,##0.00_-;\-&quot;R$&quot;\ * #,##0.00_-;_-&quot;R$&quot;\ * &quot;-&quot;??_-;_-@_-"/>
    <numFmt numFmtId="43" formatCode="_-* #,##0.00_-;\-* #,##0.00_-;_-* &quot;-&quot;??_-;_-@_-"/>
    <numFmt numFmtId="164" formatCode="_(* #,##0_);_(* \(#,##0\);_(* &quot;-&quot;_);_(@_)"/>
    <numFmt numFmtId="165" formatCode="_(&quot;$&quot;* #,##0.00_);_(&quot;$&quot;* \(#,##0.00\);_(&quot;$&quot;* &quot;-&quot;??_);_(@_)"/>
    <numFmt numFmtId="166" formatCode="_(* #,##0.00_);_(* \(#,##0.00\);_(* &quot;-&quot;??_);_(@_)"/>
    <numFmt numFmtId="167" formatCode="_(&quot;R$&quot;\ * #,##0.00_);_(&quot;R$&quot;\ * \(#,##0.00\);_(&quot;R$&quot;\ * &quot;-&quot;??_);_(@_)"/>
    <numFmt numFmtId="168" formatCode="_-&quot;R$&quot;* #,##0_-;\-&quot;R$&quot;* #,##0_-;_-&quot;R$&quot;* &quot;-&quot;??_-;_-@_-"/>
    <numFmt numFmtId="169" formatCode="_(* #,##0_);_(* \(##,##0\);_(* &quot; - &quot;_);_(@_)"/>
    <numFmt numFmtId="170" formatCode="0.0%"/>
    <numFmt numFmtId="171" formatCode="_(* #,##0_);_(* \(#,##0\);_(* &quot;-&quot;??_);_(@_)"/>
    <numFmt numFmtId="172" formatCode="_ * #,##0.00_ ;_ * \-#,##0.00_ ;_ * &quot;-&quot;??_ ;_ @_ "/>
    <numFmt numFmtId="173" formatCode="_(* #,##0.00_);_(* \(##,##0.00\);_(* &quot; - &quot;_);_(@_)"/>
    <numFmt numFmtId="174" formatCode="_(* #,##0.0_);_(* \(#,##0.0\);_(* &quot;-&quot;??_);_(@_)"/>
    <numFmt numFmtId="175" formatCode="_ * #,##0_ ;_ * \-#,##0_ ;_ * &quot;-&quot;_ ;_ @_ "/>
    <numFmt numFmtId="176" formatCode="#,##0.0_);\(#,##0.0\)"/>
    <numFmt numFmtId="177" formatCode="_([$€-2]* #,##0.00_);_([$€-2]* \(#,##0.00\);_([$€-2]* &quot;-&quot;??_)"/>
    <numFmt numFmtId="178" formatCode="#0.000000"/>
    <numFmt numFmtId="179" formatCode="#,"/>
    <numFmt numFmtId="180" formatCode="_._.* #,##0.0_)_%;_._.* \(#,##0.0\)_%;_._.* \ .0_)_%"/>
    <numFmt numFmtId="181" formatCode="_._.* #,##0.000_)_%;_._.* \(#,##0.000\)_%;_._.* \ .000_)_%"/>
    <numFmt numFmtId="182" formatCode="_._.&quot;$&quot;* #,##0.0_)_%;_._.&quot;$&quot;* \(#,##0.0\)_%;_._.&quot;$&quot;* \ .0_)_%"/>
    <numFmt numFmtId="183" formatCode="&quot;$&quot;* #,##0.00_);&quot;$&quot;* \(#,##0.00\)"/>
    <numFmt numFmtId="184" formatCode="_._.&quot;$&quot;* #,##0.000_)_%;_._.&quot;$&quot;* \(#,##0.000\)_%;_._.&quot;$&quot;* \ .000_)_%"/>
    <numFmt numFmtId="185" formatCode="[$-416]mmm\-yy;@"/>
    <numFmt numFmtId="186" formatCode="&quot;$&quot;#,##0\ ;\(&quot;$&quot;#,##0\)"/>
    <numFmt numFmtId="187" formatCode="_(0_)%;\(0\)%;\ \ _)\%"/>
    <numFmt numFmtId="188" formatCode="_._._(* 0_)%;_._.\(* 0\)%;_._._(* \ _)\%"/>
    <numFmt numFmtId="189" formatCode="0%_);\(0%\)"/>
    <numFmt numFmtId="190" formatCode="_(0.0_)%;\(0.0\)%;\ \ .0_)%"/>
    <numFmt numFmtId="191" formatCode="_._._(* 0.0_)%;_._.\(* 0.0\)%;_._._(* \ .0_)%"/>
    <numFmt numFmtId="192" formatCode="_(0.00_)%;\(0.00\)%;\ \ .00_)%"/>
    <numFmt numFmtId="193" formatCode="_._._(* 0.00_)%;_._.\(* 0.00\)%;_._._(* \ .00_)%"/>
    <numFmt numFmtId="194" formatCode="_(0.000_)%;\(0.000\)%;\ \ .000_)%"/>
    <numFmt numFmtId="195" formatCode="_._._(* 0.000_)%;_._.\(* 0.000\)%;_._._(* \ .000_)%"/>
    <numFmt numFmtId="196" formatCode="_(* #,##0_);_(* \(#,##0\);_(* \ _)"/>
    <numFmt numFmtId="197" formatCode="_(* #,##0.0_);_(* \(#,##0.0\);_(* \ .0_)"/>
    <numFmt numFmtId="198" formatCode="_(* #,##0.00_);_(* \(#,##0.00\);_(* \ .00_)"/>
    <numFmt numFmtId="199" formatCode="_(* #,##0.000_);_(* \(#,##0.000\);_(* \ .000_)"/>
    <numFmt numFmtId="200" formatCode="_(&quot;$&quot;* #,##0_);_(&quot;$&quot;* \(#,##0\);_(&quot;$&quot;* \ _)"/>
    <numFmt numFmtId="201" formatCode="_(&quot;$&quot;* #,##0.0_);_(&quot;$&quot;* \(#,##0.0\);_(&quot;$&quot;* \ .0_)"/>
    <numFmt numFmtId="202" formatCode="_(&quot;$&quot;* #,##0.00_);_(&quot;$&quot;* \(#,##0.00\);_(&quot;$&quot;* \ .00_)"/>
    <numFmt numFmtId="203" formatCode="_(&quot;$&quot;* #,##0.000_);_(&quot;$&quot;* \(#,##0.000\);_(&quot;$&quot;* \ .000_)"/>
    <numFmt numFmtId="204" formatCode="#,##0.0"/>
    <numFmt numFmtId="205" formatCode="#,##0;\(#,##0\);&quot;-&quot;"/>
    <numFmt numFmtId="206" formatCode="#,##0.00;\(#,##0.00\);&quot;-&quot;"/>
    <numFmt numFmtId="207" formatCode="_-* #,##0_-;\-* #,##0_-;_-* &quot;-&quot;??_-;_-@_-"/>
    <numFmt numFmtId="208" formatCode="_(* #,##0.0000_);_(* \(#,##0.0000\);_(* &quot;-&quot;??_);_(@_)"/>
    <numFmt numFmtId="209" formatCode="0.000"/>
    <numFmt numFmtId="210" formatCode="_(* #,##0.0000_);_(* \(##,##0.0000\);_(* &quot; - &quot;_);_(@_)"/>
    <numFmt numFmtId="211" formatCode="_-&quot;R$&quot;* #,##0.00000_-;\-&quot;R$&quot;* #,##0.00000_-;_-&quot;R$&quot;* &quot;-&quot;??_-;_-@_-"/>
    <numFmt numFmtId="212" formatCode="_-* #,##0.0_-;\-* #,##0.0_-;_-* &quot;-&quot;?_-;_-@_-"/>
    <numFmt numFmtId="213" formatCode="#,##0.000;\(#,##0.000\);&quot;-&quot;"/>
  </numFmts>
  <fonts count="124">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sz val="10"/>
      <color theme="1"/>
      <name val="Calibri"/>
      <family val="2"/>
      <scheme val="minor"/>
    </font>
    <font>
      <b/>
      <u val="singleAccounting"/>
      <sz val="11"/>
      <color theme="1"/>
      <name val="Calibri"/>
      <family val="2"/>
      <scheme val="minor"/>
    </font>
    <font>
      <sz val="10"/>
      <color theme="1"/>
      <name val="Calibri"/>
      <family val="2"/>
      <scheme val="minor"/>
    </font>
    <font>
      <b/>
      <u val="singleAccounting"/>
      <sz val="10"/>
      <color theme="1"/>
      <name val="Calibri"/>
      <family val="2"/>
      <scheme val="minor"/>
    </font>
    <font>
      <sz val="10"/>
      <color theme="1"/>
      <name val="Arial"/>
      <family val="2"/>
    </font>
    <font>
      <b/>
      <sz val="11"/>
      <name val="Calibri"/>
      <family val="2"/>
      <scheme val="minor"/>
    </font>
    <font>
      <b/>
      <sz val="10"/>
      <name val="Calibri"/>
      <family val="2"/>
      <scheme val="minor"/>
    </font>
    <font>
      <b/>
      <u/>
      <sz val="10"/>
      <color theme="1"/>
      <name val="Calibri"/>
      <family val="2"/>
      <scheme val="minor"/>
    </font>
    <font>
      <sz val="10"/>
      <color theme="0"/>
      <name val="Calibri"/>
      <family val="2"/>
      <scheme val="minor"/>
    </font>
    <font>
      <sz val="10"/>
      <name val="Calibri"/>
      <family val="2"/>
      <scheme val="minor"/>
    </font>
    <font>
      <sz val="10"/>
      <name val="Arial"/>
      <family val="2"/>
    </font>
    <font>
      <u val="singleAccounting"/>
      <sz val="10"/>
      <name val="Calibri"/>
      <family val="2"/>
      <scheme val="minor"/>
    </font>
    <font>
      <sz val="10"/>
      <name val="Times New Roman"/>
      <family val="1"/>
    </font>
    <font>
      <b/>
      <sz val="22"/>
      <color theme="1"/>
      <name val="Calibri"/>
      <family val="2"/>
      <scheme val="minor"/>
    </font>
    <font>
      <b/>
      <u/>
      <sz val="11"/>
      <color theme="1"/>
      <name val="Calibri"/>
      <family val="2"/>
      <scheme val="minor"/>
    </font>
    <font>
      <sz val="8"/>
      <color theme="0" tint="-0.34998626667073579"/>
      <name val="Calibri"/>
      <family val="2"/>
      <scheme val="minor"/>
    </font>
    <font>
      <u val="singleAccounting"/>
      <sz val="11"/>
      <color theme="1"/>
      <name val="Calibri"/>
      <family val="2"/>
      <scheme val="minor"/>
    </font>
    <font>
      <b/>
      <u/>
      <sz val="10"/>
      <name val="Calibri"/>
      <family val="2"/>
      <scheme val="minor"/>
    </font>
    <font>
      <sz val="10"/>
      <color theme="0" tint="-0.499984740745262"/>
      <name val="Calibri"/>
      <family val="2"/>
      <scheme val="minor"/>
    </font>
    <font>
      <sz val="12"/>
      <name val="Times New Roman"/>
      <family val="1"/>
    </font>
    <font>
      <b/>
      <sz val="8"/>
      <name val="Arial"/>
      <family val="2"/>
    </font>
    <font>
      <b/>
      <sz val="10"/>
      <name val="Arial"/>
      <family val="2"/>
    </font>
    <font>
      <sz val="10"/>
      <name val="Tahoma"/>
      <family val="2"/>
    </font>
    <font>
      <u/>
      <sz val="10"/>
      <color indexed="36"/>
      <name val="Arial"/>
      <family val="2"/>
    </font>
    <font>
      <u/>
      <sz val="10"/>
      <color indexed="12"/>
      <name val="Arial"/>
      <family val="2"/>
    </font>
    <font>
      <sz val="10"/>
      <name val="Courier"/>
      <family val="3"/>
    </font>
    <font>
      <sz val="10"/>
      <name val="MS Sans Serif"/>
      <family val="2"/>
    </font>
    <font>
      <b/>
      <sz val="12"/>
      <color indexed="56"/>
      <name val="Arial"/>
      <family val="2"/>
    </font>
    <font>
      <sz val="1"/>
      <color indexed="18"/>
      <name val="Courier"/>
      <family val="3"/>
    </font>
    <font>
      <b/>
      <sz val="10"/>
      <name val="Tahoma"/>
      <family val="2"/>
    </font>
    <font>
      <sz val="1"/>
      <color indexed="16"/>
      <name val="Courier"/>
      <family val="3"/>
    </font>
    <font>
      <sz val="13"/>
      <color indexed="8"/>
      <name val="Arial"/>
      <family val="2"/>
    </font>
    <font>
      <sz val="10"/>
      <name val="Comic Sans MS"/>
      <family val="4"/>
    </font>
    <font>
      <sz val="11"/>
      <name val="Arial"/>
      <family val="2"/>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i/>
      <sz val="11"/>
      <color indexed="23"/>
      <name val="Calibri"/>
      <family val="2"/>
    </font>
    <font>
      <sz val="11"/>
      <color indexed="17"/>
      <name val="Calibri"/>
      <family val="2"/>
    </font>
    <font>
      <b/>
      <sz val="13"/>
      <color indexed="62"/>
      <name val="Calibri"/>
      <family val="2"/>
    </font>
    <font>
      <b/>
      <sz val="11"/>
      <color indexed="62"/>
      <name val="Calibri"/>
      <family val="2"/>
    </font>
    <font>
      <sz val="11"/>
      <color indexed="62"/>
      <name val="Calibri"/>
      <family val="2"/>
    </font>
    <font>
      <sz val="11"/>
      <color indexed="10"/>
      <name val="Calibri"/>
      <family val="2"/>
    </font>
    <font>
      <sz val="11"/>
      <color indexed="19"/>
      <name val="Calibri"/>
      <family val="2"/>
    </font>
    <font>
      <b/>
      <sz val="11"/>
      <color indexed="63"/>
      <name val="Calibri"/>
      <family val="2"/>
    </font>
    <font>
      <b/>
      <sz val="18"/>
      <color indexed="62"/>
      <name val="Cambria"/>
      <family val="2"/>
    </font>
    <font>
      <b/>
      <sz val="11"/>
      <color indexed="8"/>
      <name val="Calibri"/>
      <family val="2"/>
    </font>
    <font>
      <sz val="11"/>
      <color indexed="52"/>
      <name val="Calibri"/>
      <family val="2"/>
    </font>
    <font>
      <b/>
      <sz val="11"/>
      <name val="Arial"/>
      <family val="2"/>
    </font>
    <font>
      <sz val="11"/>
      <name val="Times New Roman"/>
      <family val="1"/>
    </font>
    <font>
      <sz val="11"/>
      <name val="New Times Roman"/>
    </font>
    <font>
      <u val="singleAccounting"/>
      <sz val="11"/>
      <name val="Times New Roman"/>
      <family val="1"/>
    </font>
    <font>
      <sz val="8"/>
      <color indexed="24"/>
      <name val="Arial"/>
      <family val="2"/>
    </font>
    <font>
      <b/>
      <sz val="14"/>
      <name val="Arial"/>
      <family val="2"/>
    </font>
    <font>
      <b/>
      <sz val="15"/>
      <color indexed="62"/>
      <name val="Calibri"/>
      <family val="2"/>
    </font>
    <font>
      <sz val="11"/>
      <color indexed="60"/>
      <name val="Calibri"/>
      <family val="2"/>
    </font>
    <font>
      <b/>
      <sz val="10"/>
      <color indexed="10"/>
      <name val="Arial"/>
      <family val="2"/>
    </font>
    <font>
      <sz val="10"/>
      <color indexed="8"/>
      <name val="Arial"/>
      <family val="2"/>
    </font>
    <font>
      <sz val="8"/>
      <name val="Courier New"/>
      <family val="3"/>
    </font>
    <font>
      <b/>
      <sz val="14"/>
      <name val="Calibri"/>
      <family val="2"/>
      <scheme val="minor"/>
    </font>
    <font>
      <b/>
      <sz val="8"/>
      <color theme="0" tint="-0.34998626667073579"/>
      <name val="Calibri"/>
      <family val="2"/>
      <scheme val="minor"/>
    </font>
    <font>
      <sz val="10"/>
      <color rgb="FF000000"/>
      <name val="Times New Roman"/>
      <family val="1"/>
    </font>
    <font>
      <u val="singleAccounting"/>
      <sz val="11"/>
      <name val="Calibri"/>
      <family val="2"/>
      <scheme val="minor"/>
    </font>
    <font>
      <b/>
      <u val="singleAccounting"/>
      <sz val="11"/>
      <name val="Calibri"/>
      <family val="2"/>
      <scheme val="minor"/>
    </font>
    <font>
      <sz val="10"/>
      <color rgb="FF000000"/>
      <name val="Calibri"/>
      <family val="2"/>
      <scheme val="minor"/>
    </font>
    <font>
      <b/>
      <sz val="10"/>
      <color rgb="FF000000"/>
      <name val="Calibri"/>
      <family val="2"/>
      <scheme val="minor"/>
    </font>
    <font>
      <sz val="10"/>
      <color rgb="FF989898"/>
      <name val="Calibri"/>
      <family val="2"/>
      <scheme val="minor"/>
    </font>
    <font>
      <sz val="10"/>
      <color rgb="FFFF0000"/>
      <name val="Calibri"/>
      <family val="2"/>
      <scheme val="minor"/>
    </font>
    <font>
      <b/>
      <sz val="10"/>
      <color rgb="FFFFFFFF"/>
      <name val="Calibri"/>
      <family val="2"/>
      <scheme val="minor"/>
    </font>
    <font>
      <b/>
      <sz val="11"/>
      <color theme="0"/>
      <name val="Calibri"/>
      <family val="2"/>
      <scheme val="minor"/>
    </font>
    <font>
      <i/>
      <sz val="9"/>
      <color theme="1"/>
      <name val="Calibri"/>
      <family val="2"/>
      <scheme val="minor"/>
    </font>
    <font>
      <b/>
      <sz val="10"/>
      <color theme="0"/>
      <name val="Calibri"/>
      <family val="2"/>
      <scheme val="minor"/>
    </font>
    <font>
      <u val="singleAccounting"/>
      <sz val="10"/>
      <color theme="1"/>
      <name val="Calibri"/>
      <family val="2"/>
      <scheme val="minor"/>
    </font>
    <font>
      <b/>
      <sz val="12"/>
      <color theme="1"/>
      <name val="Calibri"/>
      <family val="2"/>
      <scheme val="minor"/>
    </font>
    <font>
      <b/>
      <sz val="10"/>
      <name val="Calibri"/>
      <family val="2"/>
    </font>
    <font>
      <sz val="11"/>
      <name val="Calibri"/>
      <family val="2"/>
      <scheme val="minor"/>
    </font>
    <font>
      <u/>
      <sz val="11"/>
      <color theme="10"/>
      <name val="Calibri"/>
      <family val="2"/>
      <scheme val="minor"/>
    </font>
    <font>
      <sz val="9"/>
      <color theme="0" tint="-0.499984740745262"/>
      <name val="Calibri"/>
      <family val="2"/>
      <scheme val="minor"/>
    </font>
    <font>
      <vertAlign val="superscript"/>
      <sz val="10"/>
      <name val="Calibri"/>
      <family val="2"/>
      <scheme val="minor"/>
    </font>
    <font>
      <u/>
      <sz val="11"/>
      <name val="Calibri"/>
      <family val="2"/>
      <scheme val="minor"/>
    </font>
    <font>
      <vertAlign val="superscript"/>
      <sz val="8.1"/>
      <color theme="0" tint="-0.499984740745262"/>
      <name val="Calibri"/>
      <family val="2"/>
    </font>
    <font>
      <u/>
      <sz val="11"/>
      <color theme="1"/>
      <name val="Calibri"/>
      <family val="2"/>
      <scheme val="minor"/>
    </font>
    <font>
      <sz val="8"/>
      <name val="Calibri"/>
      <family val="2"/>
      <scheme val="minor"/>
    </font>
    <font>
      <sz val="10"/>
      <name val="Calibri"/>
      <family val="2"/>
    </font>
    <font>
      <sz val="11"/>
      <color theme="1"/>
      <name val="Source Sans Pro"/>
      <family val="2"/>
    </font>
    <font>
      <sz val="11"/>
      <color rgb="FFFF0000"/>
      <name val="Calibri"/>
      <family val="2"/>
      <scheme val="minor"/>
    </font>
    <font>
      <b/>
      <sz val="12"/>
      <color rgb="FF00943B"/>
      <name val="Calibri"/>
      <family val="2"/>
      <scheme val="minor"/>
    </font>
    <font>
      <sz val="11"/>
      <color rgb="FF000000"/>
      <name val="Source Sans Pro"/>
      <family val="2"/>
    </font>
    <font>
      <b/>
      <sz val="10"/>
      <color theme="0"/>
      <name val="Calibri"/>
      <family val="2"/>
    </font>
    <font>
      <i/>
      <sz val="10"/>
      <color theme="1"/>
      <name val="Calibri"/>
      <family val="2"/>
      <scheme val="minor"/>
    </font>
    <font>
      <sz val="10"/>
      <color theme="1"/>
      <name val="Quatro"/>
      <family val="2"/>
    </font>
    <font>
      <sz val="10"/>
      <name val="Quatro"/>
      <family val="2"/>
    </font>
    <font>
      <sz val="12"/>
      <color theme="1"/>
      <name val="Quatro"/>
      <family val="2"/>
    </font>
    <font>
      <b/>
      <sz val="12"/>
      <color theme="1"/>
      <name val="Quatro"/>
      <family val="2"/>
    </font>
    <font>
      <b/>
      <sz val="12"/>
      <color rgb="FF92D050"/>
      <name val="Quatro"/>
      <family val="2"/>
    </font>
    <font>
      <u/>
      <sz val="12"/>
      <color theme="1" tint="0.14999847407452621"/>
      <name val="Quatro"/>
      <family val="2"/>
    </font>
    <font>
      <sz val="12"/>
      <color theme="1" tint="0.14999847407452621"/>
      <name val="Quatro"/>
      <family val="2"/>
    </font>
    <font>
      <sz val="12"/>
      <name val="Quatro"/>
      <family val="2"/>
    </font>
    <font>
      <b/>
      <sz val="9"/>
      <color rgb="FF92D050"/>
      <name val="Quatro"/>
      <family val="2"/>
    </font>
    <font>
      <sz val="9"/>
      <color theme="0"/>
      <name val="Quatro"/>
      <family val="2"/>
    </font>
    <font>
      <b/>
      <sz val="12"/>
      <color rgb="FF000000"/>
      <name val="Quatro"/>
      <family val="2"/>
    </font>
    <font>
      <b/>
      <sz val="12"/>
      <color theme="0"/>
      <name val="Quatro"/>
      <family val="2"/>
    </font>
    <font>
      <b/>
      <sz val="12"/>
      <color rgb="FF00933A"/>
      <name val="Quatro"/>
      <family val="2"/>
    </font>
    <font>
      <b/>
      <sz val="12"/>
      <color theme="2" tint="-0.499984740745262"/>
      <name val="Quatro"/>
      <family val="2"/>
    </font>
    <font>
      <sz val="12"/>
      <color theme="2" tint="-0.499984740745262"/>
      <name val="Quatro"/>
      <family val="2"/>
    </font>
    <font>
      <b/>
      <sz val="12"/>
      <color theme="1" tint="0.14999847407452621"/>
      <name val="Quatro"/>
      <family val="2"/>
    </font>
    <font>
      <sz val="12"/>
      <color rgb="FF000000"/>
      <name val="Quatro"/>
      <family val="2"/>
    </font>
    <font>
      <b/>
      <sz val="12"/>
      <name val="Quatro"/>
      <family val="2"/>
    </font>
    <font>
      <b/>
      <sz val="12"/>
      <color rgb="FF385723"/>
      <name val="Quatro"/>
      <family val="2"/>
    </font>
    <font>
      <sz val="8"/>
      <color theme="1"/>
      <name val="Quatro"/>
      <family val="2"/>
    </font>
    <font>
      <b/>
      <sz val="12"/>
      <color rgb="FF00B050"/>
      <name val="Quatro"/>
      <family val="2"/>
    </font>
    <font>
      <u/>
      <sz val="12"/>
      <color rgb="FF000000"/>
      <name val="Quatro"/>
      <family val="2"/>
    </font>
    <font>
      <sz val="12"/>
      <color theme="2" tint="-0.749992370372631"/>
      <name val="Quatro"/>
      <family val="2"/>
    </font>
    <font>
      <sz val="12"/>
      <color rgb="FF385723"/>
      <name val="Quatro"/>
      <family val="2"/>
    </font>
    <font>
      <sz val="9"/>
      <color theme="2" tint="-0.499984740745262"/>
      <name val="Quatro"/>
      <family val="2"/>
    </font>
    <font>
      <sz val="9"/>
      <name val="Calibri"/>
      <family val="2"/>
      <scheme val="minor"/>
    </font>
    <font>
      <sz val="9"/>
      <color theme="1"/>
      <name val="Calibri"/>
      <family val="2"/>
      <scheme val="minor"/>
    </font>
    <font>
      <b/>
      <sz val="9"/>
      <color theme="1"/>
      <name val="Calibri"/>
      <family val="2"/>
      <scheme val="minor"/>
    </font>
  </fonts>
  <fills count="3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patternFill>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5"/>
      </patternFill>
    </fill>
    <fill>
      <patternFill patternType="solid">
        <fgColor indexed="42"/>
      </patternFill>
    </fill>
    <fill>
      <patternFill patternType="solid">
        <fgColor indexed="46"/>
      </patternFill>
    </fill>
    <fill>
      <patternFill patternType="solid">
        <fgColor indexed="43"/>
      </patternFill>
    </fill>
    <fill>
      <patternFill patternType="solid">
        <fgColor indexed="51"/>
      </patternFill>
    </fill>
    <fill>
      <patternFill patternType="solid">
        <fgColor indexed="53"/>
      </patternFill>
    </fill>
    <fill>
      <patternFill patternType="solid">
        <fgColor indexed="49"/>
      </patternFill>
    </fill>
    <fill>
      <patternFill patternType="solid">
        <fgColor indexed="56"/>
      </patternFill>
    </fill>
    <fill>
      <patternFill patternType="solid">
        <fgColor indexed="54"/>
      </patternFill>
    </fill>
    <fill>
      <patternFill patternType="solid">
        <fgColor indexed="10"/>
      </patternFill>
    </fill>
    <fill>
      <patternFill patternType="solid">
        <fgColor indexed="9"/>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rgb="FF993333"/>
        <bgColor indexed="64"/>
      </patternFill>
    </fill>
    <fill>
      <patternFill patternType="solid">
        <fgColor rgb="FFDDDDDD"/>
        <bgColor indexed="64"/>
      </patternFill>
    </fill>
    <fill>
      <patternFill patternType="solid">
        <fgColor rgb="FF00943B"/>
        <bgColor indexed="64"/>
      </patternFill>
    </fill>
    <fill>
      <patternFill patternType="solid">
        <fgColor rgb="FFFFFFFF"/>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rgb="FF385723"/>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34998626667073579"/>
        <bgColor indexed="64"/>
      </patternFill>
    </fill>
    <fill>
      <patternFill patternType="solid">
        <fgColor rgb="FFEAF4E4"/>
        <bgColor indexed="64"/>
      </patternFill>
    </fill>
    <fill>
      <patternFill patternType="solid">
        <fgColor rgb="FFFFFF00"/>
        <bgColor indexed="64"/>
      </patternFill>
    </fill>
  </fills>
  <borders count="51">
    <border>
      <left/>
      <right/>
      <top/>
      <bottom/>
      <diagonal/>
    </border>
    <border>
      <left/>
      <right/>
      <top/>
      <bottom style="thin">
        <color auto="1"/>
      </bottom>
      <diagonal/>
    </border>
    <border>
      <left/>
      <right/>
      <top style="medium">
        <color rgb="FF00943B"/>
      </top>
      <bottom style="medium">
        <color rgb="FF00943B"/>
      </bottom>
      <diagonal/>
    </border>
    <border>
      <left/>
      <right style="thick">
        <color theme="0"/>
      </right>
      <top style="thick">
        <color theme="0"/>
      </top>
      <bottom style="thick">
        <color theme="0"/>
      </bottom>
      <diagonal/>
    </border>
    <border>
      <left/>
      <right/>
      <top/>
      <bottom style="medium">
        <color rgb="FF00943B"/>
      </bottom>
      <diagonal/>
    </border>
    <border>
      <left/>
      <right style="thick">
        <color theme="0"/>
      </right>
      <top style="thick">
        <color theme="0"/>
      </top>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style="thin">
        <color indexed="64"/>
      </top>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thin">
        <color indexed="56"/>
      </top>
      <bottom style="double">
        <color indexed="56"/>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thick">
        <color theme="0"/>
      </top>
      <bottom style="thick">
        <color theme="0"/>
      </bottom>
      <diagonal/>
    </border>
    <border>
      <left/>
      <right style="thick">
        <color theme="0"/>
      </right>
      <top style="medium">
        <color rgb="FF00943B"/>
      </top>
      <bottom style="medium">
        <color rgb="FF00943B"/>
      </bottom>
      <diagonal/>
    </border>
    <border>
      <left style="thin">
        <color theme="1" tint="0.499984740745262"/>
      </left>
      <right/>
      <top/>
      <bottom/>
      <diagonal/>
    </border>
    <border>
      <left/>
      <right style="thin">
        <color theme="1" tint="0.499984740745262"/>
      </right>
      <top/>
      <bottom/>
      <diagonal/>
    </border>
    <border>
      <left/>
      <right style="thick">
        <color theme="0"/>
      </right>
      <top/>
      <bottom/>
      <diagonal/>
    </border>
    <border>
      <left style="thick">
        <color theme="0"/>
      </left>
      <right/>
      <top/>
      <bottom/>
      <diagonal/>
    </border>
    <border>
      <left/>
      <right/>
      <top style="thick">
        <color theme="0"/>
      </top>
      <bottom/>
      <diagonal/>
    </border>
    <border>
      <left/>
      <right/>
      <top/>
      <bottom style="medium">
        <color indexed="64"/>
      </bottom>
      <diagonal/>
    </border>
    <border>
      <left style="thin">
        <color theme="0" tint="-0.24994659260841701"/>
      </left>
      <right/>
      <top/>
      <bottom/>
      <diagonal/>
    </border>
    <border>
      <left style="medium">
        <color indexed="64"/>
      </left>
      <right style="medium">
        <color indexed="64"/>
      </right>
      <top/>
      <bottom/>
      <diagonal/>
    </border>
    <border>
      <left style="thin">
        <color theme="1" tint="0.499984740745262"/>
      </left>
      <right style="thin">
        <color theme="1" tint="0.499984740745262"/>
      </right>
      <top/>
      <bottom/>
      <diagonal/>
    </border>
    <border>
      <left style="thick">
        <color theme="0"/>
      </left>
      <right style="thick">
        <color rgb="FF00943B"/>
      </right>
      <top/>
      <bottom/>
      <diagonal/>
    </border>
    <border>
      <left/>
      <right/>
      <top/>
      <bottom style="thick">
        <color theme="0"/>
      </bottom>
      <diagonal/>
    </border>
    <border>
      <left style="thin">
        <color indexed="64"/>
      </left>
      <right style="thin">
        <color indexed="64"/>
      </right>
      <top style="thin">
        <color indexed="64"/>
      </top>
      <bottom style="thin">
        <color indexed="64"/>
      </bottom>
      <diagonal/>
    </border>
    <border>
      <left/>
      <right/>
      <top style="mediumDash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rgb="FF00933A"/>
      </bottom>
      <diagonal/>
    </border>
    <border>
      <left/>
      <right/>
      <top style="thin">
        <color indexed="64"/>
      </top>
      <bottom style="medium">
        <color rgb="FF00943B"/>
      </bottom>
      <diagonal/>
    </border>
    <border>
      <left/>
      <right/>
      <top style="medium">
        <color theme="9" tint="-0.24994659260841701"/>
      </top>
      <bottom style="medium">
        <color theme="9" tint="-0.24994659260841701"/>
      </bottom>
      <diagonal/>
    </border>
    <border>
      <left style="thick">
        <color theme="0"/>
      </left>
      <right style="thick">
        <color theme="0"/>
      </right>
      <top/>
      <bottom/>
      <diagonal/>
    </border>
    <border>
      <left/>
      <right/>
      <top style="medium">
        <color rgb="FF00933A"/>
      </top>
      <bottom style="medium">
        <color rgb="FF00933A"/>
      </bottom>
      <diagonal/>
    </border>
    <border>
      <left/>
      <right/>
      <top style="medium">
        <color rgb="FF385723"/>
      </top>
      <bottom style="medium">
        <color rgb="FF385723"/>
      </bottom>
      <diagonal/>
    </border>
    <border>
      <left/>
      <right/>
      <top/>
      <bottom style="medium">
        <color rgb="FF385723"/>
      </bottom>
      <diagonal/>
    </border>
    <border>
      <left/>
      <right/>
      <top style="medium">
        <color rgb="FF385723"/>
      </top>
      <bottom/>
      <diagonal/>
    </border>
  </borders>
  <cellStyleXfs count="629">
    <xf numFmtId="0" fontId="0" fillId="0" borderId="0"/>
    <xf numFmtId="166"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8" fillId="0" borderId="0"/>
    <xf numFmtId="0" fontId="14" fillId="0" borderId="0"/>
    <xf numFmtId="172" fontId="16" fillId="0" borderId="0" applyFont="0" applyFill="0" applyBorder="0" applyAlignment="0" applyProtection="0"/>
    <xf numFmtId="9" fontId="16" fillId="0" borderId="0" applyFont="0" applyFill="0" applyBorder="0" applyAlignment="0" applyProtection="0"/>
    <xf numFmtId="0" fontId="14" fillId="0" borderId="0"/>
    <xf numFmtId="37" fontId="23" fillId="0" borderId="0"/>
    <xf numFmtId="166" fontId="14" fillId="0" borderId="0" applyFont="0" applyFill="0" applyBorder="0" applyAlignment="0" applyProtection="0"/>
    <xf numFmtId="0" fontId="14" fillId="0" borderId="0"/>
    <xf numFmtId="0" fontId="38" fillId="5" borderId="0" applyNumberFormat="0" applyBorder="0" applyAlignment="0" applyProtection="0"/>
    <xf numFmtId="0" fontId="38" fillId="5" borderId="0" applyNumberFormat="0" applyBorder="0" applyAlignment="0" applyProtection="0"/>
    <xf numFmtId="0" fontId="38" fillId="6" borderId="0" applyNumberFormat="0" applyBorder="0" applyAlignment="0" applyProtection="0"/>
    <xf numFmtId="0" fontId="38" fillId="6"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9" borderId="0" applyNumberFormat="0" applyBorder="0" applyAlignment="0" applyProtection="0"/>
    <xf numFmtId="0" fontId="38" fillId="9"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9" borderId="0" applyNumberFormat="0" applyBorder="0" applyAlignment="0" applyProtection="0"/>
    <xf numFmtId="0" fontId="38" fillId="9" borderId="0" applyNumberFormat="0" applyBorder="0" applyAlignment="0" applyProtection="0"/>
    <xf numFmtId="0" fontId="38" fillId="6" borderId="0" applyNumberFormat="0" applyBorder="0" applyAlignment="0" applyProtection="0"/>
    <xf numFmtId="0" fontId="38" fillId="6" borderId="0" applyNumberFormat="0" applyBorder="0" applyAlignment="0" applyProtection="0"/>
    <xf numFmtId="0" fontId="38" fillId="13" borderId="0" applyNumberFormat="0" applyBorder="0" applyAlignment="0" applyProtection="0"/>
    <xf numFmtId="0" fontId="38" fillId="13"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9" borderId="0" applyNumberFormat="0" applyBorder="0" applyAlignment="0" applyProtection="0"/>
    <xf numFmtId="0" fontId="38" fillId="9"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9" fillId="9" borderId="0" applyNumberFormat="0" applyBorder="0" applyAlignment="0" applyProtection="0"/>
    <xf numFmtId="0" fontId="39" fillId="9" borderId="0" applyNumberFormat="0" applyBorder="0" applyAlignment="0" applyProtection="0"/>
    <xf numFmtId="0" fontId="39" fillId="15" borderId="0" applyNumberFormat="0" applyBorder="0" applyAlignment="0" applyProtection="0"/>
    <xf numFmtId="0" fontId="39" fillId="15" borderId="0" applyNumberFormat="0" applyBorder="0" applyAlignment="0" applyProtection="0"/>
    <xf numFmtId="0" fontId="39" fillId="14" borderId="0" applyNumberFormat="0" applyBorder="0" applyAlignment="0" applyProtection="0"/>
    <xf numFmtId="0" fontId="39" fillId="14" borderId="0" applyNumberFormat="0" applyBorder="0" applyAlignment="0" applyProtection="0"/>
    <xf numFmtId="0" fontId="39" fillId="10" borderId="0" applyNumberFormat="0" applyBorder="0" applyAlignment="0" applyProtection="0"/>
    <xf numFmtId="0" fontId="39" fillId="10" borderId="0" applyNumberFormat="0" applyBorder="0" applyAlignment="0" applyProtection="0"/>
    <xf numFmtId="0" fontId="39" fillId="9" borderId="0" applyNumberFormat="0" applyBorder="0" applyAlignment="0" applyProtection="0"/>
    <xf numFmtId="0" fontId="39" fillId="9" borderId="0" applyNumberFormat="0" applyBorder="0" applyAlignment="0" applyProtection="0"/>
    <xf numFmtId="0" fontId="39" fillId="6" borderId="0" applyNumberFormat="0" applyBorder="0" applyAlignment="0" applyProtection="0"/>
    <xf numFmtId="0" fontId="39" fillId="6" borderId="0" applyNumberFormat="0" applyBorder="0" applyAlignment="0" applyProtection="0"/>
    <xf numFmtId="0" fontId="39" fillId="17" borderId="0" applyNumberFormat="0" applyBorder="0" applyAlignment="0" applyProtection="0"/>
    <xf numFmtId="0" fontId="39" fillId="17" borderId="0" applyNumberFormat="0" applyBorder="0" applyAlignment="0" applyProtection="0"/>
    <xf numFmtId="0" fontId="39" fillId="15" borderId="0" applyNumberFormat="0" applyBorder="0" applyAlignment="0" applyProtection="0"/>
    <xf numFmtId="0" fontId="39" fillId="15" borderId="0" applyNumberFormat="0" applyBorder="0" applyAlignment="0" applyProtection="0"/>
    <xf numFmtId="0" fontId="39" fillId="14" borderId="0" applyNumberFormat="0" applyBorder="0" applyAlignment="0" applyProtection="0"/>
    <xf numFmtId="0" fontId="39" fillId="14" borderId="0" applyNumberFormat="0" applyBorder="0" applyAlignment="0" applyProtection="0"/>
    <xf numFmtId="0" fontId="39" fillId="18" borderId="0" applyNumberFormat="0" applyBorder="0" applyAlignment="0" applyProtection="0"/>
    <xf numFmtId="0" fontId="39" fillId="18" borderId="0" applyNumberFormat="0" applyBorder="0" applyAlignment="0" applyProtection="0"/>
    <xf numFmtId="0" fontId="39" fillId="16" borderId="0" applyNumberFormat="0" applyBorder="0" applyAlignment="0" applyProtection="0"/>
    <xf numFmtId="0" fontId="39" fillId="16" borderId="0" applyNumberFormat="0" applyBorder="0" applyAlignment="0" applyProtection="0"/>
    <xf numFmtId="0" fontId="39" fillId="19" borderId="0" applyNumberFormat="0" applyBorder="0" applyAlignment="0" applyProtection="0"/>
    <xf numFmtId="0" fontId="39" fillId="19" borderId="0" applyNumberFormat="0" applyBorder="0" applyAlignment="0" applyProtection="0"/>
    <xf numFmtId="0" fontId="14" fillId="0" borderId="0"/>
    <xf numFmtId="0" fontId="40" fillId="12" borderId="0" applyNumberFormat="0" applyBorder="0" applyAlignment="0" applyProtection="0"/>
    <xf numFmtId="0" fontId="40" fillId="12" borderId="0" applyNumberFormat="0" applyBorder="0" applyAlignment="0" applyProtection="0"/>
    <xf numFmtId="0" fontId="44" fillId="11" borderId="0" applyNumberFormat="0" applyBorder="0" applyAlignment="0" applyProtection="0"/>
    <xf numFmtId="0" fontId="41" fillId="20" borderId="7" applyNumberFormat="0" applyAlignment="0" applyProtection="0"/>
    <xf numFmtId="0" fontId="41" fillId="20" borderId="7" applyNumberFormat="0" applyAlignment="0" applyProtection="0"/>
    <xf numFmtId="0" fontId="42" fillId="21" borderId="8" applyNumberFormat="0" applyAlignment="0" applyProtection="0"/>
    <xf numFmtId="0" fontId="53" fillId="0" borderId="9" applyNumberFormat="0" applyFill="0" applyAlignment="0" applyProtection="0"/>
    <xf numFmtId="0" fontId="25" fillId="0" borderId="0" applyFill="0" applyBorder="0" applyProtection="0">
      <alignment horizontal="center"/>
      <protection locked="0"/>
    </xf>
    <xf numFmtId="0" fontId="54" fillId="0" borderId="0" applyFill="0" applyBorder="0" applyProtection="0">
      <alignment horizontal="center"/>
    </xf>
    <xf numFmtId="0" fontId="42" fillId="21" borderId="8" applyNumberFormat="0" applyAlignment="0" applyProtection="0"/>
    <xf numFmtId="0" fontId="42" fillId="21" borderId="8" applyNumberFormat="0" applyAlignment="0" applyProtection="0"/>
    <xf numFmtId="0" fontId="24" fillId="0" borderId="10">
      <alignment horizontal="center"/>
    </xf>
    <xf numFmtId="180" fontId="55" fillId="0" borderId="0" applyFont="0" applyFill="0" applyBorder="0" applyAlignment="0" applyProtection="0"/>
    <xf numFmtId="39" fontId="56" fillId="0" borderId="0" applyFont="0" applyFill="0" applyBorder="0" applyAlignment="0" applyProtection="0"/>
    <xf numFmtId="181" fontId="57" fillId="0" borderId="0" applyFont="0" applyFill="0" applyBorder="0" applyAlignment="0" applyProtection="0"/>
    <xf numFmtId="166" fontId="36" fillId="0" borderId="0" applyFont="0" applyFill="0" applyBorder="0" applyAlignment="0" applyProtection="0"/>
    <xf numFmtId="171" fontId="16" fillId="0" borderId="0" applyFont="0" applyFill="0" applyBorder="0" applyAlignment="0" applyProtection="0"/>
    <xf numFmtId="166" fontId="14" fillId="0" borderId="0" applyFont="0" applyFill="0" applyBorder="0" applyAlignment="0" applyProtection="0"/>
    <xf numFmtId="166" fontId="36" fillId="0" borderId="0" applyFont="0" applyFill="0" applyBorder="0" applyAlignment="0" applyProtection="0"/>
    <xf numFmtId="166" fontId="14" fillId="0" borderId="0" applyFont="0" applyFill="0" applyBorder="0" applyAlignment="0" applyProtection="0"/>
    <xf numFmtId="43" fontId="38"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3" fontId="58" fillId="0" borderId="0" applyFont="0" applyFill="0" applyBorder="0" applyAlignment="0" applyProtection="0"/>
    <xf numFmtId="0" fontId="59" fillId="0" borderId="0" applyFill="0" applyBorder="0" applyAlignment="0" applyProtection="0">
      <protection locked="0"/>
    </xf>
    <xf numFmtId="182" fontId="57" fillId="0" borderId="0" applyFont="0" applyFill="0" applyBorder="0" applyAlignment="0" applyProtection="0"/>
    <xf numFmtId="183" fontId="56" fillId="0" borderId="0" applyFont="0" applyFill="0" applyBorder="0" applyAlignment="0" applyProtection="0"/>
    <xf numFmtId="184" fontId="57" fillId="0" borderId="0" applyFont="0" applyFill="0" applyBorder="0" applyAlignment="0" applyProtection="0"/>
    <xf numFmtId="175" fontId="14" fillId="0" borderId="0" applyFont="0" applyFill="0" applyBorder="0" applyAlignment="0" applyProtection="0"/>
    <xf numFmtId="175" fontId="14" fillId="0" borderId="0" applyFont="0" applyFill="0" applyBorder="0" applyAlignment="0" applyProtection="0"/>
    <xf numFmtId="185" fontId="14" fillId="0" borderId="0" applyFont="0" applyFill="0" applyBorder="0" applyAlignment="0" applyProtection="0"/>
    <xf numFmtId="186" fontId="58" fillId="0" borderId="0" applyFont="0" applyFill="0" applyBorder="0" applyAlignment="0" applyProtection="0"/>
    <xf numFmtId="0" fontId="25" fillId="22" borderId="0" applyNumberFormat="0" applyFont="0" applyFill="0" applyBorder="0" applyProtection="0">
      <alignment horizontal="left"/>
    </xf>
    <xf numFmtId="0" fontId="58" fillId="0" borderId="0" applyFont="0" applyFill="0" applyBorder="0" applyAlignment="0" applyProtection="0"/>
    <xf numFmtId="0" fontId="47" fillId="8" borderId="7" applyNumberFormat="0" applyAlignment="0" applyProtection="0"/>
    <xf numFmtId="177" fontId="26" fillId="0" borderId="0" applyFon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2" fontId="58" fillId="0" borderId="0" applyFont="0" applyFill="0" applyBorder="0" applyAlignment="0" applyProtection="0"/>
    <xf numFmtId="0" fontId="44" fillId="9" borderId="0" applyNumberFormat="0" applyBorder="0" applyAlignment="0" applyProtection="0"/>
    <xf numFmtId="0" fontId="44" fillId="9" borderId="0" applyNumberFormat="0" applyBorder="0" applyAlignment="0" applyProtection="0"/>
    <xf numFmtId="178" fontId="14" fillId="23" borderId="0">
      <alignment horizontal="left" vertical="top"/>
    </xf>
    <xf numFmtId="0" fontId="60" fillId="0" borderId="11" applyNumberFormat="0" applyFill="0" applyAlignment="0" applyProtection="0"/>
    <xf numFmtId="0" fontId="60" fillId="0" borderId="11"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6" fillId="0" borderId="13" applyNumberFormat="0" applyFill="0" applyAlignment="0" applyProtection="0"/>
    <xf numFmtId="0" fontId="46" fillId="0" borderId="13" applyNumberFormat="0" applyFill="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54" fillId="0" borderId="0" applyFill="0" applyAlignment="0" applyProtection="0">
      <protection locked="0"/>
    </xf>
    <xf numFmtId="0" fontId="54" fillId="0" borderId="1" applyFill="0" applyAlignment="0" applyProtection="0">
      <protection locked="0"/>
    </xf>
    <xf numFmtId="0" fontId="28" fillId="0" borderId="0" applyNumberFormat="0" applyFill="0" applyBorder="0" applyAlignment="0" applyProtection="0">
      <alignment vertical="top"/>
      <protection locked="0"/>
    </xf>
    <xf numFmtId="0" fontId="27" fillId="0" borderId="0" applyNumberFormat="0" applyFill="0" applyBorder="0" applyAlignment="0" applyProtection="0">
      <alignment vertical="top"/>
      <protection locked="0"/>
    </xf>
    <xf numFmtId="0" fontId="29" fillId="0" borderId="0"/>
    <xf numFmtId="0" fontId="26" fillId="23" borderId="0">
      <alignment horizontal="left" wrapText="1" indent="2"/>
    </xf>
    <xf numFmtId="0" fontId="47" fillId="13" borderId="7" applyNumberFormat="0" applyAlignment="0" applyProtection="0"/>
    <xf numFmtId="0" fontId="47" fillId="13" borderId="7" applyNumberFormat="0" applyAlignment="0" applyProtection="0"/>
    <xf numFmtId="0" fontId="48" fillId="0" borderId="14" applyNumberFormat="0" applyFill="0" applyAlignment="0" applyProtection="0"/>
    <xf numFmtId="0" fontId="48" fillId="0" borderId="14" applyNumberFormat="0" applyFill="0" applyAlignment="0" applyProtection="0"/>
    <xf numFmtId="0" fontId="59" fillId="0" borderId="0" applyFill="0" applyBorder="0" applyAlignment="0" applyProtection="0"/>
    <xf numFmtId="41" fontId="14" fillId="0" borderId="0" applyFont="0" applyFill="0" applyBorder="0" applyAlignment="0" applyProtection="0"/>
    <xf numFmtId="43" fontId="14" fillId="0" borderId="0" applyFont="0" applyFill="0" applyBorder="0" applyAlignment="0" applyProtection="0"/>
    <xf numFmtId="42" fontId="14" fillId="0" borderId="0" applyFont="0" applyFill="0" applyBorder="0" applyAlignment="0" applyProtection="0"/>
    <xf numFmtId="44" fontId="14" fillId="0" borderId="0" applyFont="0" applyFill="0" applyBorder="0" applyAlignment="0" applyProtection="0"/>
    <xf numFmtId="0" fontId="61" fillId="13" borderId="0" applyNumberFormat="0" applyBorder="0" applyAlignment="0" applyProtection="0"/>
    <xf numFmtId="0" fontId="49" fillId="13" borderId="0" applyNumberFormat="0" applyBorder="0" applyAlignment="0" applyProtection="0"/>
    <xf numFmtId="0" fontId="49" fillId="13" borderId="0" applyNumberFormat="0" applyBorder="0" applyAlignment="0" applyProtection="0"/>
    <xf numFmtId="0" fontId="35"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36" fillId="0" borderId="0"/>
    <xf numFmtId="0" fontId="14" fillId="0" borderId="0"/>
    <xf numFmtId="0" fontId="38" fillId="0" borderId="0"/>
    <xf numFmtId="0" fontId="14" fillId="0" borderId="0"/>
    <xf numFmtId="0" fontId="14" fillId="0" borderId="0"/>
    <xf numFmtId="0" fontId="38" fillId="7" borderId="15" applyNumberFormat="0" applyFont="0" applyAlignment="0" applyProtection="0"/>
    <xf numFmtId="0" fontId="14" fillId="7" borderId="15" applyNumberFormat="0" applyFont="0" applyAlignment="0" applyProtection="0"/>
    <xf numFmtId="0" fontId="14" fillId="7" borderId="15" applyNumberFormat="0" applyFont="0" applyAlignment="0" applyProtection="0"/>
    <xf numFmtId="0" fontId="50" fillId="20" borderId="16" applyNumberFormat="0" applyAlignment="0" applyProtection="0"/>
    <xf numFmtId="0" fontId="50" fillId="20" borderId="16" applyNumberFormat="0" applyAlignment="0" applyProtection="0"/>
    <xf numFmtId="187" fontId="57" fillId="0" borderId="0" applyFont="0" applyFill="0" applyBorder="0" applyAlignment="0" applyProtection="0"/>
    <xf numFmtId="188" fontId="55" fillId="0" borderId="0" applyFont="0" applyFill="0" applyBorder="0" applyAlignment="0" applyProtection="0"/>
    <xf numFmtId="189" fontId="14" fillId="0" borderId="0" applyFont="0" applyFill="0" applyBorder="0" applyAlignment="0" applyProtection="0"/>
    <xf numFmtId="190" fontId="57" fillId="0" borderId="0" applyFont="0" applyFill="0" applyBorder="0" applyAlignment="0" applyProtection="0"/>
    <xf numFmtId="191" fontId="55" fillId="0" borderId="0" applyFont="0" applyFill="0" applyBorder="0" applyAlignment="0" applyProtection="0"/>
    <xf numFmtId="192" fontId="57" fillId="0" borderId="0" applyFont="0" applyFill="0" applyBorder="0" applyAlignment="0" applyProtection="0"/>
    <xf numFmtId="193" fontId="55" fillId="0" borderId="0" applyFont="0" applyFill="0" applyBorder="0" applyAlignment="0" applyProtection="0"/>
    <xf numFmtId="194" fontId="57" fillId="0" borderId="0" applyFont="0" applyFill="0" applyBorder="0" applyAlignment="0" applyProtection="0"/>
    <xf numFmtId="195" fontId="55" fillId="0" borderId="0" applyFont="0" applyFill="0" applyBorder="0" applyAlignment="0" applyProtection="0"/>
    <xf numFmtId="9" fontId="36" fillId="0" borderId="0" applyFont="0" applyFill="0" applyBorder="0" applyAlignment="0" applyProtection="0"/>
    <xf numFmtId="9" fontId="16"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7" fillId="0" borderId="0" applyFont="0" applyFill="0" applyBorder="0" applyAlignment="0" applyProtection="0"/>
    <xf numFmtId="0" fontId="30" fillId="0" borderId="0" applyNumberFormat="0" applyFont="0" applyFill="0" applyBorder="0" applyAlignment="0" applyProtection="0">
      <alignment horizontal="left"/>
    </xf>
    <xf numFmtId="176" fontId="31" fillId="0" borderId="0">
      <alignment horizontal="left"/>
    </xf>
    <xf numFmtId="179" fontId="32" fillId="0" borderId="0">
      <protection locked="0"/>
    </xf>
    <xf numFmtId="166" fontId="36" fillId="0" borderId="0" applyFont="0" applyFill="0" applyBorder="0" applyAlignment="0" applyProtection="0"/>
    <xf numFmtId="166" fontId="37" fillId="0" borderId="0" applyFont="0" applyFill="0" applyBorder="0" applyAlignment="0" applyProtection="0"/>
    <xf numFmtId="0" fontId="54" fillId="0" borderId="0" applyFill="0" applyBorder="0" applyAlignment="0" applyProtection="0"/>
    <xf numFmtId="0" fontId="33" fillId="23" borderId="0">
      <alignment wrapText="1"/>
    </xf>
    <xf numFmtId="0" fontId="48" fillId="0" borderId="0" applyNumberFormat="0" applyFill="0" applyBorder="0" applyAlignment="0" applyProtection="0"/>
    <xf numFmtId="0" fontId="62" fillId="0" borderId="0" applyFill="0" applyBorder="0" applyProtection="0">
      <alignment horizontal="left"/>
    </xf>
    <xf numFmtId="0" fontId="51" fillId="0" borderId="0" applyNumberFormat="0" applyFill="0" applyBorder="0" applyAlignment="0" applyProtection="0"/>
    <xf numFmtId="0" fontId="51" fillId="0" borderId="0" applyNumberFormat="0" applyFill="0" applyBorder="0" applyAlignment="0" applyProtection="0"/>
    <xf numFmtId="179" fontId="34" fillId="0" borderId="17">
      <alignment horizontal="left"/>
      <protection locked="0"/>
    </xf>
    <xf numFmtId="0" fontId="52" fillId="0" borderId="18" applyNumberFormat="0" applyFill="0" applyAlignment="0" applyProtection="0"/>
    <xf numFmtId="0" fontId="52" fillId="0" borderId="18" applyNumberFormat="0" applyFill="0" applyAlignment="0" applyProtection="0"/>
    <xf numFmtId="43" fontId="14" fillId="0" borderId="0" applyFon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196" fontId="55" fillId="0" borderId="0" applyFont="0" applyFill="0" applyBorder="0" applyAlignment="0" applyProtection="0"/>
    <xf numFmtId="197" fontId="55" fillId="0" borderId="0" applyFont="0" applyFill="0" applyBorder="0" applyAlignment="0" applyProtection="0"/>
    <xf numFmtId="198" fontId="55" fillId="0" borderId="0" applyFont="0" applyFill="0" applyBorder="0" applyAlignment="0" applyProtection="0"/>
    <xf numFmtId="199" fontId="55" fillId="0" borderId="0" applyFont="0" applyFill="0" applyBorder="0" applyAlignment="0" applyProtection="0"/>
    <xf numFmtId="200" fontId="55" fillId="0" borderId="0" applyFont="0" applyFill="0" applyBorder="0" applyAlignment="0" applyProtection="0"/>
    <xf numFmtId="201" fontId="55" fillId="0" borderId="0" applyFont="0" applyFill="0" applyBorder="0" applyAlignment="0" applyProtection="0"/>
    <xf numFmtId="202" fontId="55" fillId="0" borderId="0" applyFont="0" applyFill="0" applyBorder="0" applyAlignment="0" applyProtection="0"/>
    <xf numFmtId="203" fontId="55" fillId="0" borderId="0" applyFon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63" fillId="0" borderId="0" applyNumberFormat="0" applyFill="0" applyBorder="0" applyAlignment="0" applyProtection="0"/>
    <xf numFmtId="166" fontId="63" fillId="0" borderId="0" applyFont="0" applyFill="0" applyBorder="0" applyAlignment="0" applyProtection="0"/>
    <xf numFmtId="0" fontId="63" fillId="0" borderId="0" applyNumberFormat="0" applyFill="0" applyBorder="0" applyAlignment="0" applyProtection="0"/>
    <xf numFmtId="166" fontId="63" fillId="0" borderId="0" applyFont="0" applyFill="0" applyBorder="0" applyAlignment="0" applyProtection="0"/>
    <xf numFmtId="0" fontId="35" fillId="0" borderId="0" applyNumberFormat="0" applyFill="0" applyBorder="0" applyAlignment="0" applyProtection="0"/>
    <xf numFmtId="172" fontId="16" fillId="0" borderId="0" applyFont="0" applyFill="0" applyBorder="0" applyAlignment="0" applyProtection="0"/>
    <xf numFmtId="0" fontId="35" fillId="0" borderId="0" applyNumberFormat="0" applyFill="0" applyBorder="0" applyAlignment="0" applyProtection="0"/>
    <xf numFmtId="166" fontId="1" fillId="0" borderId="0" applyFont="0" applyFill="0" applyBorder="0" applyAlignment="0" applyProtection="0"/>
    <xf numFmtId="0" fontId="64" fillId="0" borderId="0" applyNumberFormat="0" applyFill="0" applyBorder="0" applyAlignment="0" applyProtection="0"/>
    <xf numFmtId="0" fontId="1" fillId="4" borderId="6" applyNumberFormat="0" applyFont="0" applyAlignment="0" applyProtection="0"/>
    <xf numFmtId="0" fontId="14" fillId="0" borderId="0"/>
    <xf numFmtId="0" fontId="14" fillId="0" borderId="0"/>
    <xf numFmtId="166" fontId="14" fillId="0" borderId="0" applyFont="0" applyFill="0" applyBorder="0" applyAlignment="0" applyProtection="0"/>
    <xf numFmtId="43" fontId="1" fillId="0" borderId="0" applyFont="0" applyFill="0" applyBorder="0" applyAlignment="0" applyProtection="0"/>
    <xf numFmtId="0" fontId="14" fillId="0" borderId="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26" fillId="23" borderId="0">
      <alignment horizontal="left" wrapText="1" indent="2"/>
    </xf>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0" fontId="35" fillId="0" borderId="0" applyNumberFormat="0" applyFill="0" applyBorder="0" applyAlignment="0" applyProtection="0"/>
    <xf numFmtId="43" fontId="63" fillId="0" borderId="0" applyFont="0" applyFill="0" applyBorder="0" applyAlignment="0" applyProtection="0"/>
    <xf numFmtId="0" fontId="63" fillId="0" borderId="0" applyNumberForma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172" fontId="16"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0" fontId="26" fillId="23" borderId="0">
      <alignment horizontal="left" wrapText="1" indent="2"/>
    </xf>
    <xf numFmtId="0" fontId="63"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14" fillId="0" borderId="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0" fontId="35" fillId="0" borderId="0" applyNumberFormat="0" applyFill="0" applyBorder="0" applyAlignment="0" applyProtection="0"/>
    <xf numFmtId="0" fontId="67" fillId="0" borderId="0"/>
    <xf numFmtId="44" fontId="1" fillId="0" borderId="0" applyFont="0" applyFill="0" applyBorder="0" applyAlignment="0" applyProtection="0"/>
    <xf numFmtId="43" fontId="1" fillId="0" borderId="0" applyFont="0" applyFill="0" applyBorder="0" applyAlignment="0" applyProtection="0"/>
    <xf numFmtId="166" fontId="14" fillId="0" borderId="0" applyFont="0" applyFill="0" applyBorder="0" applyAlignment="0" applyProtection="0"/>
    <xf numFmtId="9" fontId="14" fillId="0" borderId="0" applyFont="0" applyFill="0" applyBorder="0" applyAlignment="0" applyProtection="0"/>
    <xf numFmtId="167" fontId="1" fillId="0" borderId="0" applyFont="0" applyFill="0" applyBorder="0" applyAlignment="0" applyProtection="0"/>
    <xf numFmtId="0" fontId="82" fillId="0" borderId="0" applyNumberFormat="0" applyFill="0" applyBorder="0" applyAlignment="0" applyProtection="0"/>
    <xf numFmtId="0" fontId="8" fillId="0" borderId="0"/>
  </cellStyleXfs>
  <cellXfs count="433">
    <xf numFmtId="0" fontId="0" fillId="0" borderId="0" xfId="0"/>
    <xf numFmtId="0" fontId="4" fillId="0" borderId="0" xfId="0" applyFont="1"/>
    <xf numFmtId="0" fontId="5" fillId="0" borderId="0" xfId="0" applyFont="1" applyAlignment="1">
      <alignment horizontal="center"/>
    </xf>
    <xf numFmtId="0" fontId="6" fillId="0" borderId="0" xfId="0" applyFont="1"/>
    <xf numFmtId="0" fontId="7" fillId="0" borderId="0" xfId="0" applyFont="1" applyAlignment="1">
      <alignment horizontal="center"/>
    </xf>
    <xf numFmtId="168" fontId="6" fillId="0" borderId="0" xfId="2" applyNumberFormat="1" applyFont="1" applyBorder="1"/>
    <xf numFmtId="168" fontId="6" fillId="2" borderId="0" xfId="2" applyNumberFormat="1" applyFont="1" applyFill="1" applyBorder="1"/>
    <xf numFmtId="0" fontId="11" fillId="0" borderId="0" xfId="0" applyFont="1"/>
    <xf numFmtId="168" fontId="4" fillId="0" borderId="0" xfId="2" applyNumberFormat="1" applyFont="1" applyBorder="1"/>
    <xf numFmtId="169" fontId="13" fillId="0" borderId="0" xfId="1" applyNumberFormat="1" applyFont="1" applyFill="1" applyBorder="1"/>
    <xf numFmtId="0" fontId="13" fillId="0" borderId="0" xfId="5" applyFont="1"/>
    <xf numFmtId="169" fontId="15" fillId="0" borderId="0" xfId="5" applyNumberFormat="1" applyFont="1"/>
    <xf numFmtId="0" fontId="6" fillId="0" borderId="0" xfId="0" applyFont="1" applyAlignment="1">
      <alignment horizontal="center"/>
    </xf>
    <xf numFmtId="169" fontId="13" fillId="0" borderId="0" xfId="1" applyNumberFormat="1" applyFont="1" applyFill="1"/>
    <xf numFmtId="0" fontId="13" fillId="0" borderId="0" xfId="5" applyFont="1" applyAlignment="1">
      <alignment horizontal="left"/>
    </xf>
    <xf numFmtId="0" fontId="4" fillId="0" borderId="0" xfId="0" applyFont="1" applyAlignment="1">
      <alignment horizontal="center"/>
    </xf>
    <xf numFmtId="168" fontId="6" fillId="0" borderId="0" xfId="2" applyNumberFormat="1" applyFont="1" applyBorder="1" applyAlignment="1">
      <alignment horizontal="center"/>
    </xf>
    <xf numFmtId="0" fontId="3" fillId="0" borderId="0" xfId="0" applyFont="1" applyAlignment="1">
      <alignment horizontal="centerContinuous"/>
    </xf>
    <xf numFmtId="0" fontId="6" fillId="0" borderId="0" xfId="0" applyFont="1" applyAlignment="1">
      <alignment horizontal="centerContinuous"/>
    </xf>
    <xf numFmtId="0" fontId="2" fillId="0" borderId="0" xfId="0" applyFont="1"/>
    <xf numFmtId="0" fontId="17" fillId="0" borderId="0" xfId="0" applyFont="1" applyAlignment="1">
      <alignment horizontal="centerContinuous"/>
    </xf>
    <xf numFmtId="0" fontId="0" fillId="0" borderId="0" xfId="0" applyAlignment="1">
      <alignment horizontal="centerContinuous"/>
    </xf>
    <xf numFmtId="0" fontId="18" fillId="0" borderId="0" xfId="0" applyFont="1" applyAlignment="1">
      <alignment horizontal="center"/>
    </xf>
    <xf numFmtId="0" fontId="6" fillId="0" borderId="0" xfId="0" applyFont="1" applyAlignment="1">
      <alignment vertical="center"/>
    </xf>
    <xf numFmtId="0" fontId="19" fillId="0" borderId="0" xfId="0" applyFont="1" applyAlignment="1">
      <alignment horizontal="center"/>
    </xf>
    <xf numFmtId="171" fontId="0" fillId="0" borderId="0" xfId="0" applyNumberFormat="1"/>
    <xf numFmtId="0" fontId="6" fillId="3" borderId="2" xfId="0" applyFont="1" applyFill="1" applyBorder="1" applyAlignment="1">
      <alignment horizontal="center"/>
    </xf>
    <xf numFmtId="0" fontId="4" fillId="3" borderId="2" xfId="0" applyFont="1" applyFill="1" applyBorder="1"/>
    <xf numFmtId="0" fontId="10" fillId="3" borderId="2" xfId="5" applyFont="1" applyFill="1" applyBorder="1"/>
    <xf numFmtId="0" fontId="4" fillId="3" borderId="0" xfId="0" applyFont="1" applyFill="1"/>
    <xf numFmtId="0" fontId="4" fillId="3" borderId="2" xfId="0" applyFont="1" applyFill="1" applyBorder="1" applyAlignment="1">
      <alignment horizontal="center"/>
    </xf>
    <xf numFmtId="168" fontId="9" fillId="3" borderId="0" xfId="4" applyNumberFormat="1" applyFont="1" applyFill="1" applyAlignment="1">
      <alignment horizontal="left" vertical="center"/>
    </xf>
    <xf numFmtId="168" fontId="10" fillId="3" borderId="0" xfId="4" applyNumberFormat="1" applyFont="1" applyFill="1" applyAlignment="1">
      <alignment horizontal="left" vertical="center"/>
    </xf>
    <xf numFmtId="0" fontId="6" fillId="3" borderId="2" xfId="0" applyFont="1" applyFill="1" applyBorder="1"/>
    <xf numFmtId="0" fontId="10" fillId="2" borderId="0" xfId="5" applyFont="1" applyFill="1"/>
    <xf numFmtId="0" fontId="4" fillId="2" borderId="0" xfId="0" applyFont="1" applyFill="1" applyAlignment="1">
      <alignment horizontal="center"/>
    </xf>
    <xf numFmtId="0" fontId="4" fillId="2" borderId="0" xfId="0" applyFont="1" applyFill="1"/>
    <xf numFmtId="168" fontId="4" fillId="2" borderId="0" xfId="2" applyNumberFormat="1" applyFont="1" applyFill="1" applyBorder="1"/>
    <xf numFmtId="0" fontId="6" fillId="2" borderId="0" xfId="0" applyFont="1" applyFill="1"/>
    <xf numFmtId="168" fontId="9" fillId="3" borderId="0" xfId="4" applyNumberFormat="1" applyFont="1" applyFill="1" applyAlignment="1">
      <alignment vertical="center"/>
    </xf>
    <xf numFmtId="169" fontId="13" fillId="3" borderId="2" xfId="1" applyNumberFormat="1" applyFont="1" applyFill="1" applyBorder="1"/>
    <xf numFmtId="169" fontId="10" fillId="3" borderId="2" xfId="1" applyNumberFormat="1" applyFont="1" applyFill="1" applyBorder="1"/>
    <xf numFmtId="174" fontId="6" fillId="3" borderId="2" xfId="0" applyNumberFormat="1" applyFont="1" applyFill="1" applyBorder="1" applyAlignment="1">
      <alignment horizontal="center"/>
    </xf>
    <xf numFmtId="0" fontId="3" fillId="0" borderId="0" xfId="0" applyFont="1" applyAlignment="1">
      <alignment horizontal="left" indent="2"/>
    </xf>
    <xf numFmtId="0" fontId="22" fillId="0" borderId="0" xfId="0" applyFont="1" applyAlignment="1">
      <alignment horizontal="left" indent="2"/>
    </xf>
    <xf numFmtId="0" fontId="13" fillId="0" borderId="0" xfId="8" applyFont="1" applyAlignment="1">
      <alignment horizontal="left" indent="2"/>
    </xf>
    <xf numFmtId="37" fontId="13" fillId="0" borderId="0" xfId="9" applyFont="1" applyAlignment="1">
      <alignment horizontal="left" vertical="center" indent="2"/>
    </xf>
    <xf numFmtId="0" fontId="21" fillId="0" borderId="0" xfId="8" applyFont="1"/>
    <xf numFmtId="3" fontId="0" fillId="0" borderId="0" xfId="0" applyNumberFormat="1"/>
    <xf numFmtId="0" fontId="18" fillId="2" borderId="0" xfId="0" applyFont="1" applyFill="1" applyAlignment="1">
      <alignment horizontal="center"/>
    </xf>
    <xf numFmtId="169" fontId="13" fillId="2" borderId="0" xfId="1" applyNumberFormat="1" applyFont="1" applyFill="1"/>
    <xf numFmtId="168" fontId="13" fillId="2" borderId="0" xfId="2" applyNumberFormat="1" applyFont="1" applyFill="1" applyBorder="1"/>
    <xf numFmtId="0" fontId="20" fillId="0" borderId="0" xfId="0" applyFont="1" applyAlignment="1">
      <alignment horizontal="center"/>
    </xf>
    <xf numFmtId="0" fontId="22" fillId="0" borderId="0" xfId="0" applyFont="1" applyAlignment="1">
      <alignment horizontal="left" indent="3"/>
    </xf>
    <xf numFmtId="0" fontId="65" fillId="0" borderId="0" xfId="0" applyFont="1" applyAlignment="1">
      <alignment horizontal="left" indent="3"/>
    </xf>
    <xf numFmtId="171" fontId="13" fillId="2" borderId="5" xfId="4" applyNumberFormat="1" applyFont="1" applyFill="1" applyBorder="1" applyAlignment="1">
      <alignment horizontal="left" vertical="center"/>
    </xf>
    <xf numFmtId="171" fontId="13" fillId="2" borderId="3" xfId="4" applyNumberFormat="1" applyFont="1" applyFill="1" applyBorder="1" applyAlignment="1">
      <alignment horizontal="left" vertical="center"/>
    </xf>
    <xf numFmtId="171" fontId="13" fillId="2" borderId="4" xfId="4" applyNumberFormat="1" applyFont="1" applyFill="1" applyBorder="1" applyAlignment="1">
      <alignment horizontal="left" vertical="center"/>
    </xf>
    <xf numFmtId="171" fontId="6" fillId="3" borderId="2" xfId="0" applyNumberFormat="1" applyFont="1" applyFill="1" applyBorder="1" applyAlignment="1">
      <alignment horizontal="center"/>
    </xf>
    <xf numFmtId="0" fontId="66" fillId="0" borderId="0" xfId="0" applyFont="1" applyAlignment="1">
      <alignment horizontal="center"/>
    </xf>
    <xf numFmtId="171" fontId="10" fillId="2" borderId="3" xfId="4" applyNumberFormat="1" applyFont="1" applyFill="1" applyBorder="1" applyAlignment="1">
      <alignment horizontal="left" vertical="center"/>
    </xf>
    <xf numFmtId="171" fontId="10" fillId="2" borderId="4" xfId="4" applyNumberFormat="1" applyFont="1" applyFill="1" applyBorder="1" applyAlignment="1">
      <alignment horizontal="left" vertical="center"/>
    </xf>
    <xf numFmtId="171" fontId="4" fillId="3" borderId="2" xfId="0" applyNumberFormat="1" applyFont="1" applyFill="1" applyBorder="1" applyAlignment="1">
      <alignment horizontal="center"/>
    </xf>
    <xf numFmtId="171" fontId="2" fillId="0" borderId="0" xfId="0" applyNumberFormat="1" applyFont="1"/>
    <xf numFmtId="171" fontId="10" fillId="2" borderId="5" xfId="4" applyNumberFormat="1" applyFont="1" applyFill="1" applyBorder="1" applyAlignment="1">
      <alignment horizontal="left" vertical="center"/>
    </xf>
    <xf numFmtId="0" fontId="6" fillId="0" borderId="0" xfId="0" applyFont="1" applyAlignment="1">
      <alignment vertical="top" wrapText="1"/>
    </xf>
    <xf numFmtId="0" fontId="22" fillId="0" borderId="0" xfId="0" applyFont="1" applyAlignment="1">
      <alignment vertical="center" wrapText="1"/>
    </xf>
    <xf numFmtId="0" fontId="68" fillId="0" borderId="0" xfId="0" applyFont="1" applyAlignment="1">
      <alignment horizontal="center"/>
    </xf>
    <xf numFmtId="0" fontId="69" fillId="0" borderId="0" xfId="0" applyFont="1" applyAlignment="1">
      <alignment horizontal="center"/>
    </xf>
    <xf numFmtId="0" fontId="22" fillId="0" borderId="0" xfId="0" applyFont="1" applyAlignment="1">
      <alignment horizontal="left" vertical="center" wrapText="1"/>
    </xf>
    <xf numFmtId="171" fontId="13" fillId="0" borderId="3" xfId="4" applyNumberFormat="1" applyFont="1" applyBorder="1" applyAlignment="1">
      <alignment horizontal="left" vertical="center"/>
    </xf>
    <xf numFmtId="171" fontId="13" fillId="0" borderId="4" xfId="4" applyNumberFormat="1" applyFont="1" applyBorder="1" applyAlignment="1">
      <alignment horizontal="left" vertical="center"/>
    </xf>
    <xf numFmtId="171" fontId="6" fillId="0" borderId="2" xfId="0" applyNumberFormat="1" applyFont="1" applyBorder="1" applyAlignment="1">
      <alignment horizontal="center"/>
    </xf>
    <xf numFmtId="0" fontId="6" fillId="0" borderId="0" xfId="0" applyFont="1" applyAlignment="1">
      <alignment horizontal="center" vertical="center"/>
    </xf>
    <xf numFmtId="169" fontId="73" fillId="0" borderId="0" xfId="1" applyNumberFormat="1" applyFont="1" applyFill="1"/>
    <xf numFmtId="0" fontId="22" fillId="0" borderId="0" xfId="0" applyFont="1" applyAlignment="1">
      <alignment vertical="center"/>
    </xf>
    <xf numFmtId="0" fontId="74" fillId="24" borderId="0" xfId="0" applyFont="1" applyFill="1" applyAlignment="1">
      <alignment horizontal="center" wrapText="1"/>
    </xf>
    <xf numFmtId="0" fontId="74" fillId="24" borderId="0" xfId="0" applyFont="1" applyFill="1" applyAlignment="1">
      <alignment horizontal="right" wrapText="1"/>
    </xf>
    <xf numFmtId="0" fontId="4" fillId="25" borderId="0" xfId="0" applyFont="1" applyFill="1" applyAlignment="1">
      <alignment horizontal="center" vertical="center" wrapText="1"/>
    </xf>
    <xf numFmtId="0" fontId="6" fillId="0" borderId="0" xfId="0" applyFont="1" applyAlignment="1">
      <alignment horizontal="right" vertical="center" wrapText="1"/>
    </xf>
    <xf numFmtId="0" fontId="21" fillId="0" borderId="0" xfId="5" applyFont="1"/>
    <xf numFmtId="174" fontId="13" fillId="2" borderId="3" xfId="4" applyNumberFormat="1" applyFont="1" applyFill="1" applyBorder="1" applyAlignment="1">
      <alignment horizontal="left" vertical="center"/>
    </xf>
    <xf numFmtId="174" fontId="13" fillId="2" borderId="4" xfId="4" applyNumberFormat="1" applyFont="1" applyFill="1" applyBorder="1" applyAlignment="1">
      <alignment horizontal="left" vertical="center"/>
    </xf>
    <xf numFmtId="174" fontId="13" fillId="2" borderId="5" xfId="4" applyNumberFormat="1" applyFont="1" applyFill="1" applyBorder="1" applyAlignment="1">
      <alignment horizontal="left" vertical="center"/>
    </xf>
    <xf numFmtId="0" fontId="76" fillId="0" borderId="0" xfId="0" applyFont="1"/>
    <xf numFmtId="204" fontId="6" fillId="0" borderId="0" xfId="0" applyNumberFormat="1" applyFont="1"/>
    <xf numFmtId="37" fontId="6" fillId="0" borderId="0" xfId="0" applyNumberFormat="1" applyFont="1" applyAlignment="1">
      <alignment horizontal="center"/>
    </xf>
    <xf numFmtId="174" fontId="13" fillId="3" borderId="3" xfId="4" applyNumberFormat="1" applyFont="1" applyFill="1" applyBorder="1" applyAlignment="1">
      <alignment horizontal="left" vertical="center" indent="1"/>
    </xf>
    <xf numFmtId="174" fontId="13" fillId="3" borderId="3" xfId="4" applyNumberFormat="1" applyFont="1" applyFill="1" applyBorder="1" applyAlignment="1">
      <alignment horizontal="left" vertical="center"/>
    </xf>
    <xf numFmtId="0" fontId="10" fillId="3" borderId="2" xfId="5" applyFont="1" applyFill="1" applyBorder="1" applyAlignment="1">
      <alignment horizontal="left" indent="2"/>
    </xf>
    <xf numFmtId="174" fontId="10" fillId="3" borderId="22" xfId="4" applyNumberFormat="1" applyFont="1" applyFill="1" applyBorder="1" applyAlignment="1">
      <alignment horizontal="left" vertical="center"/>
    </xf>
    <xf numFmtId="174" fontId="10" fillId="3" borderId="2" xfId="4" applyNumberFormat="1" applyFont="1" applyFill="1" applyBorder="1" applyAlignment="1">
      <alignment vertical="center"/>
    </xf>
    <xf numFmtId="174" fontId="10" fillId="3" borderId="22" xfId="4" applyNumberFormat="1" applyFont="1" applyFill="1" applyBorder="1" applyAlignment="1">
      <alignment vertical="center"/>
    </xf>
    <xf numFmtId="174" fontId="10" fillId="3" borderId="2" xfId="4" applyNumberFormat="1" applyFont="1" applyFill="1" applyBorder="1" applyAlignment="1">
      <alignment horizontal="left" vertical="center" indent="2"/>
    </xf>
    <xf numFmtId="0" fontId="6" fillId="0" borderId="0" xfId="137" applyFont="1" applyAlignment="1">
      <alignment horizontal="center"/>
    </xf>
    <xf numFmtId="205" fontId="6" fillId="0" borderId="24" xfId="10" applyNumberFormat="1" applyFont="1" applyBorder="1" applyAlignment="1">
      <alignment horizontal="center"/>
    </xf>
    <xf numFmtId="171" fontId="6" fillId="0" borderId="0" xfId="1" applyNumberFormat="1" applyFont="1"/>
    <xf numFmtId="0" fontId="77" fillId="26" borderId="0" xfId="0" applyFont="1" applyFill="1" applyAlignment="1">
      <alignment horizontal="center" vertical="center" wrapText="1"/>
    </xf>
    <xf numFmtId="0" fontId="77" fillId="26" borderId="25" xfId="0" applyFont="1" applyFill="1" applyBorder="1" applyAlignment="1">
      <alignment horizontal="center" vertical="center" wrapText="1"/>
    </xf>
    <xf numFmtId="0" fontId="4" fillId="2" borderId="0" xfId="137" applyFont="1" applyFill="1" applyAlignment="1">
      <alignment horizontal="center" vertical="center"/>
    </xf>
    <xf numFmtId="0" fontId="22" fillId="2" borderId="0" xfId="0" applyFont="1" applyFill="1" applyAlignment="1">
      <alignment horizontal="center"/>
    </xf>
    <xf numFmtId="0" fontId="4" fillId="2" borderId="0" xfId="137" applyFont="1" applyFill="1" applyAlignment="1">
      <alignment horizontal="center" vertical="center" wrapText="1"/>
    </xf>
    <xf numFmtId="0" fontId="4" fillId="0" borderId="0" xfId="137" applyFont="1" applyAlignment="1">
      <alignment horizontal="center" vertical="top"/>
    </xf>
    <xf numFmtId="0" fontId="6" fillId="0" borderId="0" xfId="0" applyFont="1" applyAlignment="1">
      <alignment vertical="top"/>
    </xf>
    <xf numFmtId="0" fontId="22" fillId="0" borderId="0" xfId="0" applyFont="1" applyAlignment="1">
      <alignment horizontal="center" vertical="top"/>
    </xf>
    <xf numFmtId="205" fontId="4" fillId="3" borderId="22" xfId="10" applyNumberFormat="1" applyFont="1" applyFill="1" applyBorder="1" applyAlignment="1">
      <alignment horizontal="center"/>
    </xf>
    <xf numFmtId="0" fontId="6" fillId="0" borderId="0" xfId="0" applyFont="1" applyAlignment="1">
      <alignment horizontal="left"/>
    </xf>
    <xf numFmtId="0" fontId="3" fillId="0" borderId="0" xfId="0" applyFont="1"/>
    <xf numFmtId="0" fontId="6" fillId="2" borderId="0" xfId="0" applyFont="1" applyFill="1" applyAlignment="1">
      <alignment horizontal="centerContinuous"/>
    </xf>
    <xf numFmtId="0" fontId="22" fillId="2" borderId="0" xfId="0" applyFont="1" applyFill="1" applyAlignment="1">
      <alignment horizontal="left" indent="2"/>
    </xf>
    <xf numFmtId="0" fontId="0" fillId="0" borderId="0" xfId="0" applyAlignment="1">
      <alignment vertical="center"/>
    </xf>
    <xf numFmtId="0" fontId="2" fillId="2" borderId="0" xfId="0" applyFont="1" applyFill="1" applyAlignment="1">
      <alignment horizontal="center" wrapText="1"/>
    </xf>
    <xf numFmtId="0" fontId="75" fillId="26" borderId="0" xfId="0" applyFont="1" applyFill="1" applyAlignment="1">
      <alignment horizontal="center" vertical="center" wrapText="1"/>
    </xf>
    <xf numFmtId="0" fontId="75" fillId="26" borderId="25" xfId="0" applyFont="1" applyFill="1" applyBorder="1" applyAlignment="1">
      <alignment horizontal="center" vertical="center" wrapText="1"/>
    </xf>
    <xf numFmtId="171" fontId="0" fillId="2" borderId="0" xfId="0" applyNumberFormat="1" applyFill="1"/>
    <xf numFmtId="0" fontId="0" fillId="2" borderId="0" xfId="0" applyFill="1"/>
    <xf numFmtId="171" fontId="13" fillId="2" borderId="0" xfId="4" applyNumberFormat="1" applyFont="1" applyFill="1" applyAlignment="1">
      <alignment horizontal="left" vertical="center"/>
    </xf>
    <xf numFmtId="0" fontId="13" fillId="0" borderId="0" xfId="5" applyFont="1" applyAlignment="1">
      <alignment vertical="center"/>
    </xf>
    <xf numFmtId="10" fontId="13" fillId="2" borderId="21" xfId="3" applyNumberFormat="1" applyFont="1" applyFill="1" applyBorder="1" applyAlignment="1">
      <alignment horizontal="right" vertical="center"/>
    </xf>
    <xf numFmtId="0" fontId="13" fillId="0" borderId="0" xfId="5" applyFont="1" applyAlignment="1">
      <alignment horizontal="left" indent="2"/>
    </xf>
    <xf numFmtId="171" fontId="13" fillId="2" borderId="27" xfId="4" applyNumberFormat="1" applyFont="1" applyFill="1" applyBorder="1" applyAlignment="1">
      <alignment vertical="center"/>
    </xf>
    <xf numFmtId="171" fontId="6" fillId="2" borderId="0" xfId="0" applyNumberFormat="1" applyFont="1" applyFill="1" applyAlignment="1">
      <alignment horizontal="center"/>
    </xf>
    <xf numFmtId="171" fontId="13" fillId="2" borderId="28" xfId="4" applyNumberFormat="1" applyFont="1" applyFill="1" applyBorder="1" applyAlignment="1">
      <alignment horizontal="left" vertical="center"/>
    </xf>
    <xf numFmtId="9" fontId="13" fillId="2" borderId="21" xfId="3" applyFont="1" applyFill="1" applyBorder="1" applyAlignment="1">
      <alignment horizontal="right" vertical="center"/>
    </xf>
    <xf numFmtId="10" fontId="73" fillId="2" borderId="0" xfId="3" applyNumberFormat="1" applyFont="1" applyFill="1" applyBorder="1" applyAlignment="1">
      <alignment horizontal="right" vertical="center"/>
    </xf>
    <xf numFmtId="0" fontId="0" fillId="2" borderId="0" xfId="0" applyFill="1" applyAlignment="1">
      <alignment horizontal="centerContinuous"/>
    </xf>
    <xf numFmtId="0" fontId="22" fillId="0" borderId="0" xfId="0" applyFont="1" applyAlignment="1">
      <alignment horizontal="left" vertical="center"/>
    </xf>
    <xf numFmtId="0" fontId="0" fillId="0" borderId="0" xfId="0" applyAlignment="1">
      <alignment horizontal="center"/>
    </xf>
    <xf numFmtId="0" fontId="13" fillId="0" borderId="0" xfId="0" applyFont="1" applyAlignment="1">
      <alignment horizontal="center" vertical="center"/>
    </xf>
    <xf numFmtId="171" fontId="13" fillId="2" borderId="0" xfId="4" applyNumberFormat="1" applyFont="1" applyFill="1" applyAlignment="1">
      <alignment horizontal="center" vertical="center"/>
    </xf>
    <xf numFmtId="0" fontId="6" fillId="0" borderId="28" xfId="0" applyFont="1" applyBorder="1" applyAlignment="1">
      <alignment horizontal="center"/>
    </xf>
    <xf numFmtId="10" fontId="13" fillId="2" borderId="0" xfId="3" applyNumberFormat="1" applyFont="1" applyFill="1" applyBorder="1" applyAlignment="1">
      <alignment horizontal="right" vertical="center"/>
    </xf>
    <xf numFmtId="10" fontId="13" fillId="2" borderId="27" xfId="3" applyNumberFormat="1" applyFont="1" applyFill="1" applyBorder="1" applyAlignment="1">
      <alignment horizontal="right" vertical="center"/>
    </xf>
    <xf numFmtId="171" fontId="13" fillId="2" borderId="28" xfId="4" applyNumberFormat="1" applyFont="1" applyFill="1" applyBorder="1" applyAlignment="1">
      <alignment vertical="center"/>
    </xf>
    <xf numFmtId="10" fontId="13" fillId="2" borderId="28" xfId="3" applyNumberFormat="1" applyFont="1" applyFill="1" applyBorder="1" applyAlignment="1">
      <alignment horizontal="right" vertical="center"/>
    </xf>
    <xf numFmtId="9" fontId="13" fillId="2" borderId="0" xfId="3" applyFont="1" applyFill="1" applyBorder="1" applyAlignment="1">
      <alignment horizontal="right" vertical="center"/>
    </xf>
    <xf numFmtId="205" fontId="6" fillId="0" borderId="0" xfId="10" applyNumberFormat="1" applyFont="1" applyBorder="1" applyAlignment="1">
      <alignment horizontal="center"/>
    </xf>
    <xf numFmtId="169" fontId="6" fillId="0" borderId="0" xfId="0" applyNumberFormat="1" applyFont="1"/>
    <xf numFmtId="0" fontId="78" fillId="0" borderId="0" xfId="0" applyFont="1" applyAlignment="1">
      <alignment horizontal="center"/>
    </xf>
    <xf numFmtId="171" fontId="10" fillId="2" borderId="21" xfId="4" applyNumberFormat="1" applyFont="1" applyFill="1" applyBorder="1" applyAlignment="1">
      <alignment horizontal="left" vertical="center"/>
    </xf>
    <xf numFmtId="171" fontId="10" fillId="2" borderId="27" xfId="4" applyNumberFormat="1" applyFont="1" applyFill="1" applyBorder="1" applyAlignment="1">
      <alignment horizontal="left" vertical="center"/>
    </xf>
    <xf numFmtId="0" fontId="5" fillId="2" borderId="0" xfId="0" applyFont="1" applyFill="1" applyAlignment="1">
      <alignment horizontal="center"/>
    </xf>
    <xf numFmtId="0" fontId="2" fillId="2" borderId="0" xfId="0" applyFont="1" applyFill="1"/>
    <xf numFmtId="171" fontId="10" fillId="2" borderId="0" xfId="4" applyNumberFormat="1" applyFont="1" applyFill="1" applyAlignment="1">
      <alignment horizontal="left" vertical="center"/>
    </xf>
    <xf numFmtId="171" fontId="4" fillId="2" borderId="0" xfId="0" applyNumberFormat="1" applyFont="1" applyFill="1" applyAlignment="1">
      <alignment horizontal="center"/>
    </xf>
    <xf numFmtId="171" fontId="2" fillId="2" borderId="0" xfId="0" applyNumberFormat="1" applyFont="1" applyFill="1"/>
    <xf numFmtId="168" fontId="10" fillId="3" borderId="0" xfId="130" applyNumberFormat="1" applyFont="1" applyFill="1" applyAlignment="1">
      <alignment horizontal="left" vertical="center"/>
    </xf>
    <xf numFmtId="0" fontId="3" fillId="0" borderId="0" xfId="0" applyFont="1" applyAlignment="1">
      <alignment horizontal="left"/>
    </xf>
    <xf numFmtId="0" fontId="18" fillId="2" borderId="0" xfId="0" applyFont="1" applyFill="1" applyAlignment="1">
      <alignment horizontal="left"/>
    </xf>
    <xf numFmtId="0" fontId="6" fillId="0" borderId="0" xfId="0" applyFont="1" applyAlignment="1">
      <alignment vertical="center" wrapText="1"/>
    </xf>
    <xf numFmtId="0" fontId="17" fillId="0" borderId="0" xfId="0" applyFont="1" applyAlignment="1">
      <alignment horizontal="left"/>
    </xf>
    <xf numFmtId="171" fontId="81" fillId="2" borderId="0" xfId="0" applyNumberFormat="1" applyFont="1" applyFill="1"/>
    <xf numFmtId="0" fontId="4" fillId="0" borderId="0" xfId="0" applyFont="1" applyAlignment="1">
      <alignment horizontal="center" vertical="center"/>
    </xf>
    <xf numFmtId="0" fontId="6" fillId="0" borderId="0" xfId="0" applyFont="1" applyAlignment="1">
      <alignment horizontal="left" indent="3"/>
    </xf>
    <xf numFmtId="207" fontId="6" fillId="0" borderId="0" xfId="0" applyNumberFormat="1" applyFont="1"/>
    <xf numFmtId="207" fontId="6" fillId="0" borderId="0" xfId="1" applyNumberFormat="1" applyFont="1" applyFill="1" applyBorder="1" applyAlignment="1">
      <alignment horizontal="center" vertical="center"/>
    </xf>
    <xf numFmtId="0" fontId="6" fillId="0" borderId="0" xfId="0" applyFont="1" applyAlignment="1">
      <alignment horizontal="left" indent="5"/>
    </xf>
    <xf numFmtId="0" fontId="6" fillId="0" borderId="0" xfId="0" applyFont="1" applyAlignment="1">
      <alignment horizontal="left" indent="2"/>
    </xf>
    <xf numFmtId="169" fontId="13" fillId="0" borderId="1" xfId="1" applyNumberFormat="1" applyFont="1" applyFill="1" applyBorder="1"/>
    <xf numFmtId="10" fontId="75" fillId="0" borderId="0" xfId="3" applyNumberFormat="1" applyFont="1" applyFill="1" applyBorder="1" applyAlignment="1">
      <alignment vertical="center"/>
    </xf>
    <xf numFmtId="171" fontId="13" fillId="3" borderId="3" xfId="628" applyNumberFormat="1" applyFont="1" applyFill="1" applyBorder="1" applyAlignment="1">
      <alignment horizontal="left" vertical="center"/>
    </xf>
    <xf numFmtId="171" fontId="83" fillId="0" borderId="3" xfId="628" applyNumberFormat="1" applyFont="1" applyBorder="1" applyAlignment="1">
      <alignment horizontal="center" vertical="center"/>
    </xf>
    <xf numFmtId="171" fontId="13" fillId="3" borderId="3" xfId="1" applyNumberFormat="1" applyFont="1" applyFill="1" applyBorder="1" applyAlignment="1">
      <alignment horizontal="left" vertical="center"/>
    </xf>
    <xf numFmtId="171" fontId="0" fillId="0" borderId="0" xfId="1" applyNumberFormat="1" applyFont="1"/>
    <xf numFmtId="166" fontId="13" fillId="3" borderId="3" xfId="1" applyFont="1" applyFill="1" applyBorder="1" applyAlignment="1">
      <alignment horizontal="left" vertical="center"/>
    </xf>
    <xf numFmtId="166" fontId="0" fillId="0" borderId="0" xfId="1" applyFont="1"/>
    <xf numFmtId="10" fontId="75" fillId="26" borderId="0" xfId="3" applyNumberFormat="1" applyFont="1" applyFill="1" applyBorder="1" applyAlignment="1">
      <alignment horizontal="center" vertical="center"/>
    </xf>
    <xf numFmtId="10" fontId="75" fillId="26" borderId="0" xfId="3" applyNumberFormat="1" applyFont="1" applyFill="1" applyBorder="1" applyAlignment="1">
      <alignment vertical="center"/>
    </xf>
    <xf numFmtId="0" fontId="4" fillId="0" borderId="1" xfId="0" applyFont="1" applyBorder="1" applyAlignment="1">
      <alignment horizontal="center" vertical="center"/>
    </xf>
    <xf numFmtId="205" fontId="6" fillId="0" borderId="23" xfId="10" applyNumberFormat="1" applyFont="1" applyBorder="1" applyAlignment="1">
      <alignment horizontal="right"/>
    </xf>
    <xf numFmtId="171" fontId="6" fillId="0" borderId="31" xfId="1" applyNumberFormat="1" applyFont="1" applyBorder="1"/>
    <xf numFmtId="205" fontId="4" fillId="3" borderId="22" xfId="10" applyNumberFormat="1" applyFont="1" applyFill="1" applyBorder="1" applyAlignment="1">
      <alignment horizontal="right"/>
    </xf>
    <xf numFmtId="0" fontId="4" fillId="0" borderId="1" xfId="0" applyFont="1" applyBorder="1" applyAlignment="1">
      <alignment horizontal="left" vertical="center"/>
    </xf>
    <xf numFmtId="0" fontId="77" fillId="26" borderId="32" xfId="0" applyFont="1" applyFill="1" applyBorder="1" applyAlignment="1">
      <alignment horizontal="center" vertical="center" wrapText="1"/>
    </xf>
    <xf numFmtId="171" fontId="13" fillId="0" borderId="0" xfId="4" applyNumberFormat="1" applyFont="1" applyAlignment="1">
      <alignment horizontal="left" vertical="center"/>
    </xf>
    <xf numFmtId="0" fontId="81" fillId="0" borderId="0" xfId="0" applyFont="1"/>
    <xf numFmtId="0" fontId="85" fillId="0" borderId="0" xfId="627" applyFont="1"/>
    <xf numFmtId="0" fontId="65" fillId="0" borderId="0" xfId="0" applyFont="1" applyAlignment="1">
      <alignment horizontal="left"/>
    </xf>
    <xf numFmtId="0" fontId="4" fillId="0" borderId="1" xfId="0" applyFont="1" applyBorder="1" applyAlignment="1">
      <alignment horizontal="centerContinuous"/>
    </xf>
    <xf numFmtId="10" fontId="13" fillId="0" borderId="21" xfId="3" applyNumberFormat="1" applyFont="1" applyFill="1" applyBorder="1" applyAlignment="1">
      <alignment horizontal="right" vertical="center"/>
    </xf>
    <xf numFmtId="0" fontId="6" fillId="0" borderId="29" xfId="0" applyFont="1" applyBorder="1" applyAlignment="1">
      <alignment horizontal="center" vertical="center"/>
    </xf>
    <xf numFmtId="0" fontId="6" fillId="0" borderId="0" xfId="0" applyFont="1" applyAlignment="1">
      <alignment horizontal="center" vertical="center" wrapText="1"/>
    </xf>
    <xf numFmtId="10" fontId="75" fillId="26" borderId="0" xfId="3" quotePrefix="1" applyNumberFormat="1" applyFont="1" applyFill="1" applyBorder="1" applyAlignment="1">
      <alignment horizontal="center" vertical="center"/>
    </xf>
    <xf numFmtId="10" fontId="73" fillId="2" borderId="21" xfId="3" applyNumberFormat="1" applyFont="1" applyFill="1" applyBorder="1" applyAlignment="1">
      <alignment horizontal="right" vertical="center"/>
    </xf>
    <xf numFmtId="0" fontId="13" fillId="2" borderId="0" xfId="5" applyFont="1" applyFill="1" applyAlignment="1">
      <alignment horizontal="left" indent="2"/>
    </xf>
    <xf numFmtId="0" fontId="13" fillId="2" borderId="0" xfId="5" applyFont="1" applyFill="1"/>
    <xf numFmtId="171" fontId="83" fillId="0" borderId="0" xfId="628" applyNumberFormat="1" applyFont="1" applyAlignment="1">
      <alignment horizontal="center" vertical="center"/>
    </xf>
    <xf numFmtId="0" fontId="18" fillId="0" borderId="0" xfId="0" applyFont="1"/>
    <xf numFmtId="9" fontId="13" fillId="3" borderId="3" xfId="3" applyFont="1" applyFill="1" applyBorder="1" applyAlignment="1">
      <alignment horizontal="right" vertical="center"/>
    </xf>
    <xf numFmtId="166" fontId="0" fillId="0" borderId="0" xfId="1" applyFont="1" applyAlignment="1">
      <alignment horizontal="right"/>
    </xf>
    <xf numFmtId="166" fontId="13" fillId="3" borderId="0" xfId="1" applyFont="1" applyFill="1" applyBorder="1" applyAlignment="1">
      <alignment horizontal="left" vertical="center"/>
    </xf>
    <xf numFmtId="165" fontId="13" fillId="3" borderId="3" xfId="2" applyFont="1" applyFill="1" applyBorder="1" applyAlignment="1">
      <alignment horizontal="left" vertical="center"/>
    </xf>
    <xf numFmtId="165" fontId="0" fillId="0" borderId="0" xfId="2" applyFont="1"/>
    <xf numFmtId="165" fontId="0" fillId="0" borderId="0" xfId="0" applyNumberFormat="1"/>
    <xf numFmtId="0" fontId="13" fillId="2" borderId="0" xfId="5" applyFont="1" applyFill="1" applyAlignment="1">
      <alignment vertical="center"/>
    </xf>
    <xf numFmtId="0" fontId="6" fillId="0" borderId="0" xfId="0" applyFont="1" applyAlignment="1">
      <alignment horizontal="right" vertical="center"/>
    </xf>
    <xf numFmtId="0" fontId="13" fillId="0" borderId="0" xfId="0" applyFont="1" applyAlignment="1">
      <alignment horizontal="center" vertical="center" wrapText="1"/>
    </xf>
    <xf numFmtId="0" fontId="6" fillId="0" borderId="29" xfId="0" applyFont="1" applyBorder="1" applyAlignment="1">
      <alignment horizontal="center" vertical="center" wrapText="1"/>
    </xf>
    <xf numFmtId="0" fontId="6" fillId="0" borderId="0" xfId="0" applyFont="1" applyAlignment="1">
      <alignment horizontal="center" wrapText="1"/>
    </xf>
    <xf numFmtId="0" fontId="0" fillId="2" borderId="0" xfId="0" applyFill="1" applyAlignment="1">
      <alignment horizontal="center"/>
    </xf>
    <xf numFmtId="171" fontId="13" fillId="2" borderId="0" xfId="4" applyNumberFormat="1" applyFont="1" applyFill="1" applyAlignment="1">
      <alignment vertical="center"/>
    </xf>
    <xf numFmtId="10" fontId="13" fillId="2" borderId="33" xfId="3" applyNumberFormat="1" applyFont="1" applyFill="1" applyBorder="1" applyAlignment="1">
      <alignment horizontal="right" vertical="center"/>
    </xf>
    <xf numFmtId="171" fontId="83" fillId="0" borderId="5" xfId="628" applyNumberFormat="1" applyFont="1" applyBorder="1" applyAlignment="1">
      <alignment horizontal="center" vertical="center"/>
    </xf>
    <xf numFmtId="208" fontId="83" fillId="0" borderId="34" xfId="628" applyNumberFormat="1" applyFont="1" applyBorder="1" applyAlignment="1">
      <alignment horizontal="center" vertical="center"/>
    </xf>
    <xf numFmtId="0" fontId="3" fillId="0" borderId="0" xfId="0" applyFont="1" applyAlignment="1">
      <alignment vertical="center"/>
    </xf>
    <xf numFmtId="0" fontId="13" fillId="0" borderId="35" xfId="5" applyFont="1" applyBorder="1" applyAlignment="1">
      <alignment vertical="center"/>
    </xf>
    <xf numFmtId="171" fontId="6" fillId="2" borderId="35" xfId="0" applyNumberFormat="1" applyFont="1" applyFill="1" applyBorder="1" applyAlignment="1">
      <alignment horizontal="center"/>
    </xf>
    <xf numFmtId="10" fontId="6" fillId="2" borderId="35" xfId="3" applyNumberFormat="1" applyFont="1" applyFill="1" applyBorder="1" applyAlignment="1">
      <alignment horizontal="right"/>
    </xf>
    <xf numFmtId="0" fontId="6" fillId="0" borderId="35" xfId="0" applyFont="1" applyBorder="1" applyAlignment="1">
      <alignment horizontal="center"/>
    </xf>
    <xf numFmtId="0" fontId="13" fillId="0" borderId="28" xfId="5" applyFont="1" applyBorder="1" applyAlignment="1">
      <alignment horizontal="left" indent="2"/>
    </xf>
    <xf numFmtId="168" fontId="6" fillId="0" borderId="0" xfId="2" applyNumberFormat="1" applyFont="1" applyFill="1" applyBorder="1"/>
    <xf numFmtId="9" fontId="73" fillId="0" borderId="0" xfId="3" applyFont="1" applyFill="1"/>
    <xf numFmtId="9" fontId="73" fillId="0" borderId="0" xfId="3" applyFont="1"/>
    <xf numFmtId="10" fontId="0" fillId="0" borderId="0" xfId="3" applyNumberFormat="1" applyFont="1"/>
    <xf numFmtId="166" fontId="81" fillId="0" borderId="0" xfId="1" applyFont="1"/>
    <xf numFmtId="165" fontId="81" fillId="0" borderId="0" xfId="2" applyFont="1"/>
    <xf numFmtId="0" fontId="0" fillId="0" borderId="36" xfId="0" applyBorder="1"/>
    <xf numFmtId="0" fontId="0" fillId="0" borderId="37" xfId="0" applyBorder="1"/>
    <xf numFmtId="0" fontId="0" fillId="0" borderId="38" xfId="0" applyBorder="1"/>
    <xf numFmtId="0" fontId="0" fillId="0" borderId="41" xfId="0" applyBorder="1"/>
    <xf numFmtId="0" fontId="0" fillId="0" borderId="1" xfId="0" applyBorder="1"/>
    <xf numFmtId="0" fontId="0" fillId="0" borderId="42" xfId="0" applyBorder="1"/>
    <xf numFmtId="0" fontId="87" fillId="0" borderId="0" xfId="627" applyFont="1"/>
    <xf numFmtId="9" fontId="6" fillId="0" borderId="0" xfId="3" applyFont="1" applyBorder="1"/>
    <xf numFmtId="168" fontId="6" fillId="0" borderId="0" xfId="0" applyNumberFormat="1" applyFont="1"/>
    <xf numFmtId="0" fontId="90" fillId="0" borderId="0" xfId="0" applyFont="1"/>
    <xf numFmtId="3" fontId="6" fillId="0" borderId="0" xfId="0" applyNumberFormat="1" applyFont="1" applyAlignment="1">
      <alignment horizontal="center"/>
    </xf>
    <xf numFmtId="43" fontId="6" fillId="0" borderId="0" xfId="0" applyNumberFormat="1" applyFont="1" applyAlignment="1">
      <alignment horizontal="center"/>
    </xf>
    <xf numFmtId="210" fontId="13" fillId="0" borderId="0" xfId="1" applyNumberFormat="1" applyFont="1" applyFill="1"/>
    <xf numFmtId="205" fontId="6" fillId="0" borderId="24" xfId="10" applyNumberFormat="1" applyFont="1" applyBorder="1" applyAlignment="1">
      <alignment horizontal="right"/>
    </xf>
    <xf numFmtId="205" fontId="6" fillId="0" borderId="0" xfId="0" applyNumberFormat="1" applyFont="1" applyAlignment="1">
      <alignment horizontal="center"/>
    </xf>
    <xf numFmtId="37" fontId="6" fillId="0" borderId="0" xfId="0" applyNumberFormat="1" applyFont="1" applyAlignment="1">
      <alignment horizontal="right"/>
    </xf>
    <xf numFmtId="211" fontId="4" fillId="0" borderId="0" xfId="2" applyNumberFormat="1" applyFont="1" applyBorder="1"/>
    <xf numFmtId="173" fontId="13" fillId="0" borderId="0" xfId="1" applyNumberFormat="1" applyFont="1" applyFill="1" applyBorder="1"/>
    <xf numFmtId="169" fontId="13" fillId="2" borderId="0" xfId="1" applyNumberFormat="1" applyFont="1" applyFill="1" applyBorder="1"/>
    <xf numFmtId="169" fontId="13" fillId="0" borderId="37" xfId="1" applyNumberFormat="1" applyFont="1" applyFill="1" applyBorder="1"/>
    <xf numFmtId="164" fontId="70" fillId="0" borderId="37" xfId="0" applyNumberFormat="1" applyFont="1" applyBorder="1" applyAlignment="1">
      <alignment horizontal="right" vertical="center"/>
    </xf>
    <xf numFmtId="173" fontId="13" fillId="0" borderId="0" xfId="1" applyNumberFormat="1" applyFont="1" applyFill="1"/>
    <xf numFmtId="0" fontId="0" fillId="0" borderId="39" xfId="0" applyBorder="1"/>
    <xf numFmtId="0" fontId="0" fillId="0" borderId="40" xfId="0" applyBorder="1"/>
    <xf numFmtId="209" fontId="0" fillId="0" borderId="0" xfId="0" applyNumberFormat="1"/>
    <xf numFmtId="0" fontId="91" fillId="0" borderId="0" xfId="0" applyFont="1"/>
    <xf numFmtId="165" fontId="91" fillId="0" borderId="0" xfId="0" applyNumberFormat="1" applyFont="1"/>
    <xf numFmtId="166" fontId="91" fillId="0" borderId="0" xfId="1" applyFont="1"/>
    <xf numFmtId="0" fontId="81" fillId="0" borderId="0" xfId="0" applyFont="1" applyAlignment="1">
      <alignment vertical="center"/>
    </xf>
    <xf numFmtId="0" fontId="75" fillId="26" borderId="0" xfId="3" applyNumberFormat="1" applyFont="1" applyFill="1" applyBorder="1" applyAlignment="1">
      <alignment horizontal="center" vertical="center"/>
    </xf>
    <xf numFmtId="9" fontId="6" fillId="0" borderId="0" xfId="3" applyFont="1" applyFill="1" applyBorder="1" applyAlignment="1">
      <alignment horizontal="right"/>
    </xf>
    <xf numFmtId="9" fontId="6" fillId="0" borderId="0" xfId="0" applyNumberFormat="1" applyFont="1" applyAlignment="1">
      <alignment horizontal="right" vertical="center"/>
    </xf>
    <xf numFmtId="170" fontId="13" fillId="2" borderId="21" xfId="3" applyNumberFormat="1" applyFont="1" applyFill="1" applyBorder="1" applyAlignment="1">
      <alignment horizontal="right" vertical="center"/>
    </xf>
    <xf numFmtId="0" fontId="13" fillId="0" borderId="37" xfId="5" applyFont="1" applyBorder="1"/>
    <xf numFmtId="169" fontId="13" fillId="0" borderId="44" xfId="1" applyNumberFormat="1" applyFont="1" applyFill="1" applyBorder="1"/>
    <xf numFmtId="0" fontId="10" fillId="3" borderId="45" xfId="5" applyFont="1" applyFill="1" applyBorder="1"/>
    <xf numFmtId="43" fontId="10" fillId="3" borderId="45" xfId="5" applyNumberFormat="1" applyFont="1" applyFill="1" applyBorder="1"/>
    <xf numFmtId="43" fontId="0" fillId="0" borderId="0" xfId="0" applyNumberFormat="1"/>
    <xf numFmtId="17" fontId="77" fillId="26" borderId="0" xfId="0" applyNumberFormat="1" applyFont="1" applyFill="1" applyAlignment="1">
      <alignment horizontal="center" vertical="center" wrapText="1"/>
    </xf>
    <xf numFmtId="171" fontId="0" fillId="0" borderId="0" xfId="1" applyNumberFormat="1" applyFont="1" applyFill="1"/>
    <xf numFmtId="166" fontId="13" fillId="0" borderId="3" xfId="1" applyFont="1" applyFill="1" applyBorder="1" applyAlignment="1">
      <alignment horizontal="left" vertical="center"/>
    </xf>
    <xf numFmtId="166" fontId="0" fillId="0" borderId="0" xfId="1" applyFont="1" applyFill="1"/>
    <xf numFmtId="166" fontId="0" fillId="0" borderId="0" xfId="1" applyFont="1" applyFill="1" applyAlignment="1">
      <alignment horizontal="right"/>
    </xf>
    <xf numFmtId="165" fontId="0" fillId="0" borderId="0" xfId="2" applyFont="1" applyFill="1"/>
    <xf numFmtId="166" fontId="81" fillId="0" borderId="0" xfId="1" applyFont="1" applyFill="1"/>
    <xf numFmtId="165" fontId="81" fillId="0" borderId="0" xfId="2" applyFont="1" applyFill="1"/>
    <xf numFmtId="0" fontId="10" fillId="0" borderId="2" xfId="5" applyFont="1" applyBorder="1"/>
    <xf numFmtId="166" fontId="6" fillId="0" borderId="0" xfId="1" applyFont="1"/>
    <xf numFmtId="213" fontId="6" fillId="0" borderId="24" xfId="10" applyNumberFormat="1" applyFont="1" applyBorder="1" applyAlignment="1">
      <alignment horizontal="center"/>
    </xf>
    <xf numFmtId="213" fontId="4" fillId="3" borderId="22" xfId="10" applyNumberFormat="1" applyFont="1" applyFill="1" applyBorder="1" applyAlignment="1">
      <alignment horizontal="center"/>
    </xf>
    <xf numFmtId="213" fontId="6" fillId="0" borderId="0" xfId="0" applyNumberFormat="1" applyFont="1"/>
    <xf numFmtId="206" fontId="6" fillId="0" borderId="24" xfId="10" applyNumberFormat="1" applyFont="1" applyBorder="1" applyAlignment="1">
      <alignment horizontal="center"/>
    </xf>
    <xf numFmtId="174" fontId="6" fillId="0" borderId="0" xfId="1" applyNumberFormat="1" applyFont="1"/>
    <xf numFmtId="0" fontId="92" fillId="0" borderId="4" xfId="0" applyFont="1" applyBorder="1"/>
    <xf numFmtId="174" fontId="4" fillId="3" borderId="2" xfId="0" applyNumberFormat="1" applyFont="1" applyFill="1" applyBorder="1"/>
    <xf numFmtId="0" fontId="75" fillId="0" borderId="0" xfId="3" applyNumberFormat="1" applyFont="1" applyFill="1" applyBorder="1" applyAlignment="1">
      <alignment horizontal="center" vertical="center"/>
    </xf>
    <xf numFmtId="171" fontId="13" fillId="0" borderId="3" xfId="1" applyNumberFormat="1" applyFont="1" applyFill="1" applyBorder="1" applyAlignment="1">
      <alignment horizontal="left" vertical="center"/>
    </xf>
    <xf numFmtId="9" fontId="13" fillId="0" borderId="3" xfId="3" applyFont="1" applyFill="1" applyBorder="1" applyAlignment="1">
      <alignment horizontal="right" vertical="center"/>
    </xf>
    <xf numFmtId="166" fontId="91" fillId="0" borderId="0" xfId="1" applyFont="1" applyFill="1"/>
    <xf numFmtId="165" fontId="13" fillId="0" borderId="3" xfId="2" applyFont="1" applyFill="1" applyBorder="1" applyAlignment="1">
      <alignment horizontal="left" vertical="center"/>
    </xf>
    <xf numFmtId="166" fontId="13" fillId="0" borderId="0" xfId="1" applyFont="1" applyFill="1" applyBorder="1" applyAlignment="1">
      <alignment horizontal="left" vertical="center"/>
    </xf>
    <xf numFmtId="207" fontId="81" fillId="0" borderId="0" xfId="623" applyNumberFormat="1" applyFont="1" applyBorder="1" applyAlignment="1" applyProtection="1">
      <alignment horizontal="right"/>
      <protection locked="0"/>
    </xf>
    <xf numFmtId="2" fontId="0" fillId="0" borderId="0" xfId="0" applyNumberFormat="1"/>
    <xf numFmtId="17" fontId="0" fillId="0" borderId="0" xfId="0" applyNumberFormat="1"/>
    <xf numFmtId="0" fontId="93" fillId="27" borderId="47" xfId="0" applyFont="1" applyFill="1" applyBorder="1" applyAlignment="1">
      <alignment horizontal="center" vertical="center"/>
    </xf>
    <xf numFmtId="171" fontId="93" fillId="27" borderId="47" xfId="1" applyNumberFormat="1" applyFont="1" applyFill="1" applyBorder="1" applyAlignment="1">
      <alignment horizontal="center" vertical="center"/>
    </xf>
    <xf numFmtId="171" fontId="90" fillId="0" borderId="0" xfId="1" applyNumberFormat="1" applyFont="1"/>
    <xf numFmtId="166" fontId="90" fillId="0" borderId="0" xfId="1" applyFont="1"/>
    <xf numFmtId="166" fontId="93" fillId="27" borderId="47" xfId="1" applyFont="1" applyFill="1" applyBorder="1" applyAlignment="1">
      <alignment horizontal="center" vertical="center"/>
    </xf>
    <xf numFmtId="0" fontId="10" fillId="0" borderId="0" xfId="0" applyFont="1" applyAlignment="1">
      <alignment horizontal="left" vertical="center" wrapText="1" indent="1"/>
    </xf>
    <xf numFmtId="0" fontId="6" fillId="0" borderId="0" xfId="0" applyFont="1" applyAlignment="1">
      <alignment horizontal="left" vertical="top"/>
    </xf>
    <xf numFmtId="0" fontId="10" fillId="0" borderId="0" xfId="0" applyFont="1" applyAlignment="1">
      <alignment horizontal="center" vertical="center" wrapText="1"/>
    </xf>
    <xf numFmtId="0" fontId="10" fillId="0" borderId="0" xfId="0" applyFont="1" applyAlignment="1">
      <alignment horizontal="left" vertical="top" wrapText="1" indent="1"/>
    </xf>
    <xf numFmtId="0" fontId="13" fillId="0" borderId="0" xfId="0" applyFont="1" applyAlignment="1">
      <alignment horizontal="center" vertical="top" wrapText="1"/>
    </xf>
    <xf numFmtId="2" fontId="70" fillId="0" borderId="0" xfId="0" applyNumberFormat="1" applyFont="1" applyAlignment="1">
      <alignment vertical="top" shrinkToFit="1"/>
    </xf>
    <xf numFmtId="3" fontId="70" fillId="0" borderId="0" xfId="0" applyNumberFormat="1" applyFont="1" applyAlignment="1">
      <alignment vertical="top" shrinkToFit="1"/>
    </xf>
    <xf numFmtId="1" fontId="70" fillId="0" borderId="0" xfId="0" applyNumberFormat="1" applyFont="1" applyAlignment="1">
      <alignment vertical="top" shrinkToFit="1"/>
    </xf>
    <xf numFmtId="3" fontId="71" fillId="0" borderId="0" xfId="0" applyNumberFormat="1" applyFont="1" applyAlignment="1">
      <alignment horizontal="right" vertical="top" shrinkToFit="1"/>
    </xf>
    <xf numFmtId="1" fontId="71" fillId="0" borderId="0" xfId="0" applyNumberFormat="1" applyFont="1" applyAlignment="1">
      <alignment horizontal="right" vertical="top" shrinkToFit="1"/>
    </xf>
    <xf numFmtId="2" fontId="6" fillId="0" borderId="0" xfId="0" applyNumberFormat="1" applyFont="1" applyAlignment="1">
      <alignment horizontal="right" vertical="center" wrapText="1"/>
    </xf>
    <xf numFmtId="0" fontId="4" fillId="0" borderId="0" xfId="0" applyFont="1" applyAlignment="1">
      <alignment horizontal="left" indent="1"/>
    </xf>
    <xf numFmtId="174" fontId="6" fillId="0" borderId="0" xfId="0" applyNumberFormat="1" applyFont="1"/>
    <xf numFmtId="212" fontId="6" fillId="0" borderId="0" xfId="0" applyNumberFormat="1" applyFont="1"/>
    <xf numFmtId="0" fontId="77" fillId="26" borderId="0" xfId="0" applyFont="1" applyFill="1" applyAlignment="1">
      <alignment horizontal="center" vertical="center"/>
    </xf>
    <xf numFmtId="0" fontId="95" fillId="0" borderId="0" xfId="0" applyFont="1"/>
    <xf numFmtId="9" fontId="6" fillId="0" borderId="0" xfId="3" applyFont="1"/>
    <xf numFmtId="169" fontId="97" fillId="0" borderId="0" xfId="1" applyNumberFormat="1" applyFont="1" applyFill="1"/>
    <xf numFmtId="169" fontId="96" fillId="0" borderId="0" xfId="0" applyNumberFormat="1" applyFont="1"/>
    <xf numFmtId="43" fontId="13" fillId="3" borderId="3" xfId="1" applyNumberFormat="1" applyFont="1" applyFill="1" applyBorder="1" applyAlignment="1">
      <alignment horizontal="left" vertical="center"/>
    </xf>
    <xf numFmtId="0" fontId="98" fillId="0" borderId="0" xfId="0" applyFont="1"/>
    <xf numFmtId="0" fontId="99" fillId="0" borderId="0" xfId="0" applyFont="1" applyAlignment="1">
      <alignment horizontal="left" indent="2"/>
    </xf>
    <xf numFmtId="0" fontId="100" fillId="30" borderId="0" xfId="0" applyFont="1" applyFill="1" applyAlignment="1">
      <alignment horizontal="center"/>
    </xf>
    <xf numFmtId="0" fontId="100" fillId="30" borderId="0" xfId="0" applyFont="1" applyFill="1" applyAlignment="1">
      <alignment horizontal="center" vertical="center"/>
    </xf>
    <xf numFmtId="14" fontId="100" fillId="30" borderId="0" xfId="0" applyNumberFormat="1" applyFont="1" applyFill="1" applyAlignment="1">
      <alignment horizontal="center" vertical="center" wrapText="1"/>
    </xf>
    <xf numFmtId="164" fontId="98" fillId="0" borderId="0" xfId="0" applyNumberFormat="1" applyFont="1"/>
    <xf numFmtId="0" fontId="101" fillId="0" borderId="0" xfId="0" applyFont="1" applyAlignment="1">
      <alignment vertical="center"/>
    </xf>
    <xf numFmtId="0" fontId="102" fillId="0" borderId="0" xfId="0" applyFont="1"/>
    <xf numFmtId="164" fontId="102" fillId="0" borderId="0" xfId="0" applyNumberFormat="1" applyFont="1"/>
    <xf numFmtId="0" fontId="99" fillId="0" borderId="0" xfId="0" applyFont="1"/>
    <xf numFmtId="0" fontId="102" fillId="0" borderId="0" xfId="0" applyFont="1" applyAlignment="1">
      <alignment vertical="center"/>
    </xf>
    <xf numFmtId="164" fontId="102" fillId="0" borderId="0" xfId="0" applyNumberFormat="1" applyFont="1" applyAlignment="1">
      <alignment horizontal="right" vertical="center"/>
    </xf>
    <xf numFmtId="164" fontId="103" fillId="0" borderId="0" xfId="0" applyNumberFormat="1" applyFont="1" applyAlignment="1">
      <alignment horizontal="right" vertical="center"/>
    </xf>
    <xf numFmtId="0" fontId="100" fillId="30" borderId="0" xfId="5" applyFont="1" applyFill="1" applyAlignment="1">
      <alignment horizontal="left" vertical="center"/>
    </xf>
    <xf numFmtId="0" fontId="106" fillId="0" borderId="0" xfId="0" applyFont="1" applyAlignment="1">
      <alignment horizontal="center" vertical="center"/>
    </xf>
    <xf numFmtId="17" fontId="107" fillId="2" borderId="0" xfId="0" applyNumberFormat="1" applyFont="1" applyFill="1" applyAlignment="1">
      <alignment horizontal="center" vertical="center" wrapText="1"/>
    </xf>
    <xf numFmtId="0" fontId="108" fillId="0" borderId="43" xfId="5" applyFont="1" applyBorder="1" applyAlignment="1">
      <alignment horizontal="left"/>
    </xf>
    <xf numFmtId="0" fontId="108" fillId="0" borderId="43" xfId="5" applyFont="1" applyBorder="1" applyAlignment="1">
      <alignment horizontal="center"/>
    </xf>
    <xf numFmtId="164" fontId="102" fillId="2" borderId="0" xfId="0" applyNumberFormat="1" applyFont="1" applyFill="1" applyAlignment="1">
      <alignment horizontal="right" vertical="center"/>
    </xf>
    <xf numFmtId="9" fontId="103" fillId="2" borderId="0" xfId="3" applyFont="1" applyFill="1" applyAlignment="1">
      <alignment horizontal="right" vertical="center"/>
    </xf>
    <xf numFmtId="0" fontId="112" fillId="0" borderId="0" xfId="0" applyFont="1" applyAlignment="1">
      <alignment vertical="center"/>
    </xf>
    <xf numFmtId="164" fontId="106" fillId="0" borderId="0" xfId="0" applyNumberFormat="1" applyFont="1" applyAlignment="1">
      <alignment horizontal="right" vertical="center"/>
    </xf>
    <xf numFmtId="0" fontId="113" fillId="0" borderId="2" xfId="5" applyFont="1" applyBorder="1" applyAlignment="1">
      <alignment horizontal="left" indent="1"/>
    </xf>
    <xf numFmtId="171" fontId="99" fillId="0" borderId="2" xfId="0" applyNumberFormat="1" applyFont="1" applyBorder="1" applyAlignment="1">
      <alignment horizontal="center"/>
    </xf>
    <xf numFmtId="164" fontId="99" fillId="0" borderId="2" xfId="0" applyNumberFormat="1" applyFont="1" applyBorder="1" applyAlignment="1">
      <alignment horizontal="center"/>
    </xf>
    <xf numFmtId="164" fontId="106" fillId="0" borderId="2" xfId="0" applyNumberFormat="1" applyFont="1" applyBorder="1" applyAlignment="1">
      <alignment horizontal="center"/>
    </xf>
    <xf numFmtId="0" fontId="114" fillId="0" borderId="48" xfId="5" applyFont="1" applyBorder="1"/>
    <xf numFmtId="171" fontId="114" fillId="0" borderId="48" xfId="0" applyNumberFormat="1" applyFont="1" applyBorder="1" applyAlignment="1">
      <alignment horizontal="center"/>
    </xf>
    <xf numFmtId="9" fontId="98" fillId="0" borderId="0" xfId="3" applyFont="1"/>
    <xf numFmtId="0" fontId="98" fillId="2" borderId="0" xfId="0" applyFont="1" applyFill="1"/>
    <xf numFmtId="0" fontId="108" fillId="0" borderId="0" xfId="5" applyFont="1" applyAlignment="1">
      <alignment horizontal="center"/>
    </xf>
    <xf numFmtId="164" fontId="103" fillId="0" borderId="0" xfId="3" applyNumberFormat="1" applyFont="1" applyAlignment="1">
      <alignment horizontal="right" vertical="center"/>
    </xf>
    <xf numFmtId="164" fontId="116" fillId="0" borderId="0" xfId="0" applyNumberFormat="1" applyFont="1"/>
    <xf numFmtId="164" fontId="112" fillId="0" borderId="0" xfId="0" applyNumberFormat="1" applyFont="1" applyAlignment="1">
      <alignment horizontal="right" vertical="center"/>
    </xf>
    <xf numFmtId="164" fontId="114" fillId="0" borderId="48" xfId="0" applyNumberFormat="1" applyFont="1" applyBorder="1" applyAlignment="1">
      <alignment horizontal="center" vertical="center"/>
    </xf>
    <xf numFmtId="164" fontId="114" fillId="0" borderId="48" xfId="0" applyNumberFormat="1" applyFont="1" applyBorder="1" applyAlignment="1">
      <alignment horizontal="right" vertical="center"/>
    </xf>
    <xf numFmtId="164" fontId="106" fillId="0" borderId="0" xfId="0" applyNumberFormat="1" applyFont="1" applyAlignment="1">
      <alignment horizontal="left" vertical="center"/>
    </xf>
    <xf numFmtId="0" fontId="112" fillId="27" borderId="0" xfId="0" applyFont="1" applyFill="1" applyAlignment="1">
      <alignment vertical="center"/>
    </xf>
    <xf numFmtId="0" fontId="117" fillId="27" borderId="0" xfId="0" applyFont="1" applyFill="1" applyAlignment="1">
      <alignment vertical="center"/>
    </xf>
    <xf numFmtId="164" fontId="98" fillId="0" borderId="0" xfId="0" applyNumberFormat="1" applyFont="1" applyAlignment="1">
      <alignment vertical="center"/>
    </xf>
    <xf numFmtId="9" fontId="103" fillId="0" borderId="0" xfId="3" applyFont="1" applyAlignment="1">
      <alignment horizontal="right" vertical="center"/>
    </xf>
    <xf numFmtId="0" fontId="112" fillId="0" borderId="0" xfId="0" applyFont="1"/>
    <xf numFmtId="0" fontId="113" fillId="2" borderId="2" xfId="5" applyFont="1" applyFill="1" applyBorder="1" applyAlignment="1">
      <alignment horizontal="left" indent="2"/>
    </xf>
    <xf numFmtId="0" fontId="113" fillId="2" borderId="0" xfId="5" applyFont="1" applyFill="1"/>
    <xf numFmtId="171" fontId="99" fillId="2" borderId="2" xfId="0" applyNumberFormat="1" applyFont="1" applyFill="1" applyBorder="1" applyAlignment="1">
      <alignment horizontal="center"/>
    </xf>
    <xf numFmtId="0" fontId="117" fillId="0" borderId="0" xfId="0" applyFont="1" applyAlignment="1">
      <alignment vertical="center"/>
    </xf>
    <xf numFmtId="164" fontId="114" fillId="0" borderId="48" xfId="0" applyNumberFormat="1" applyFont="1" applyBorder="1" applyAlignment="1">
      <alignment horizontal="left" vertical="center"/>
    </xf>
    <xf numFmtId="0" fontId="99" fillId="28" borderId="0" xfId="0" applyFont="1" applyFill="1"/>
    <xf numFmtId="0" fontId="99" fillId="28" borderId="0" xfId="0" applyFont="1" applyFill="1" applyAlignment="1">
      <alignment horizontal="center"/>
    </xf>
    <xf numFmtId="0" fontId="99" fillId="31" borderId="0" xfId="0" applyFont="1" applyFill="1"/>
    <xf numFmtId="1" fontId="99" fillId="31" borderId="0" xfId="0" applyNumberFormat="1" applyFont="1" applyFill="1"/>
    <xf numFmtId="1" fontId="99" fillId="31" borderId="0" xfId="0" applyNumberFormat="1" applyFont="1" applyFill="1" applyAlignment="1">
      <alignment horizontal="right"/>
    </xf>
    <xf numFmtId="0" fontId="99" fillId="32" borderId="0" xfId="0" applyFont="1" applyFill="1"/>
    <xf numFmtId="1" fontId="99" fillId="32" borderId="0" xfId="0" applyNumberFormat="1" applyFont="1" applyFill="1"/>
    <xf numFmtId="0" fontId="98" fillId="29" borderId="0" xfId="0" applyFont="1" applyFill="1"/>
    <xf numFmtId="1" fontId="98" fillId="29" borderId="0" xfId="0" applyNumberFormat="1" applyFont="1" applyFill="1"/>
    <xf numFmtId="0" fontId="99" fillId="33" borderId="0" xfId="0" applyFont="1" applyFill="1"/>
    <xf numFmtId="1" fontId="99" fillId="33" borderId="0" xfId="0" applyNumberFormat="1" applyFont="1" applyFill="1"/>
    <xf numFmtId="0" fontId="98" fillId="3" borderId="0" xfId="0" applyFont="1" applyFill="1"/>
    <xf numFmtId="0" fontId="112" fillId="2" borderId="0" xfId="0" applyFont="1" applyFill="1" applyAlignment="1">
      <alignment vertical="center"/>
    </xf>
    <xf numFmtId="164" fontId="103" fillId="2" borderId="0" xfId="0" applyNumberFormat="1" applyFont="1" applyFill="1" applyAlignment="1">
      <alignment horizontal="right" vertical="center"/>
    </xf>
    <xf numFmtId="0" fontId="102" fillId="2" borderId="0" xfId="0" applyFont="1" applyFill="1" applyAlignment="1">
      <alignment vertical="center"/>
    </xf>
    <xf numFmtId="0" fontId="102" fillId="2" borderId="0" xfId="0" applyFont="1" applyFill="1"/>
    <xf numFmtId="0" fontId="100" fillId="30" borderId="0" xfId="5" applyFont="1" applyFill="1" applyAlignment="1">
      <alignment horizontal="center" vertical="center"/>
    </xf>
    <xf numFmtId="0" fontId="118" fillId="0" borderId="0" xfId="0" applyFont="1"/>
    <xf numFmtId="164" fontId="103" fillId="34" borderId="0" xfId="0" applyNumberFormat="1" applyFont="1" applyFill="1" applyAlignment="1">
      <alignment horizontal="right" vertical="center"/>
    </xf>
    <xf numFmtId="164" fontId="118" fillId="0" borderId="0" xfId="0" applyNumberFormat="1" applyFont="1" applyAlignment="1">
      <alignment horizontal="right" vertical="center"/>
    </xf>
    <xf numFmtId="9" fontId="118" fillId="0" borderId="0" xfId="3" applyFont="1" applyBorder="1" applyAlignment="1">
      <alignment horizontal="right" vertical="center"/>
    </xf>
    <xf numFmtId="0" fontId="112" fillId="0" borderId="49" xfId="0" applyFont="1" applyBorder="1" applyAlignment="1">
      <alignment vertical="center"/>
    </xf>
    <xf numFmtId="0" fontId="98" fillId="0" borderId="49" xfId="0" applyFont="1" applyBorder="1"/>
    <xf numFmtId="164" fontId="103" fillId="0" borderId="49" xfId="0" applyNumberFormat="1" applyFont="1" applyBorder="1" applyAlignment="1">
      <alignment horizontal="right" vertical="center"/>
    </xf>
    <xf numFmtId="164" fontId="103" fillId="34" borderId="49" xfId="0" applyNumberFormat="1" applyFont="1" applyFill="1" applyBorder="1" applyAlignment="1">
      <alignment horizontal="right" vertical="center"/>
    </xf>
    <xf numFmtId="164" fontId="118" fillId="0" borderId="49" xfId="0" applyNumberFormat="1" applyFont="1" applyBorder="1" applyAlignment="1">
      <alignment horizontal="right" vertical="center"/>
    </xf>
    <xf numFmtId="0" fontId="118" fillId="0" borderId="49" xfId="0" applyFont="1" applyBorder="1"/>
    <xf numFmtId="9" fontId="118" fillId="0" borderId="49" xfId="3" applyFont="1" applyBorder="1" applyAlignment="1">
      <alignment horizontal="right" vertical="center"/>
    </xf>
    <xf numFmtId="0" fontId="114" fillId="0" borderId="48" xfId="5" applyFont="1" applyBorder="1" applyAlignment="1">
      <alignment horizontal="left" indent="1"/>
    </xf>
    <xf numFmtId="0" fontId="114" fillId="0" borderId="48" xfId="0" applyFont="1" applyBorder="1"/>
    <xf numFmtId="164" fontId="114" fillId="0" borderId="48" xfId="0" applyNumberFormat="1" applyFont="1" applyBorder="1" applyAlignment="1">
      <alignment horizontal="center"/>
    </xf>
    <xf numFmtId="164" fontId="114" fillId="34" borderId="48" xfId="0" applyNumberFormat="1" applyFont="1" applyFill="1" applyBorder="1" applyAlignment="1">
      <alignment horizontal="center"/>
    </xf>
    <xf numFmtId="9" fontId="114" fillId="0" borderId="48" xfId="3" applyFont="1" applyBorder="1" applyAlignment="1">
      <alignment horizontal="right" vertical="center"/>
    </xf>
    <xf numFmtId="0" fontId="112" fillId="0" borderId="48" xfId="0" applyFont="1" applyBorder="1" applyAlignment="1">
      <alignment vertical="center"/>
    </xf>
    <xf numFmtId="0" fontId="119" fillId="0" borderId="48" xfId="0" applyFont="1" applyBorder="1"/>
    <xf numFmtId="164" fontId="119" fillId="0" borderId="48" xfId="0" applyNumberFormat="1" applyFont="1" applyBorder="1" applyAlignment="1">
      <alignment horizontal="right" vertical="center"/>
    </xf>
    <xf numFmtId="0" fontId="98" fillId="0" borderId="48" xfId="0" applyFont="1" applyBorder="1"/>
    <xf numFmtId="164" fontId="118" fillId="0" borderId="48" xfId="0" applyNumberFormat="1" applyFont="1" applyBorder="1" applyAlignment="1">
      <alignment horizontal="right" vertical="center"/>
    </xf>
    <xf numFmtId="0" fontId="118" fillId="0" borderId="48" xfId="0" applyFont="1" applyBorder="1"/>
    <xf numFmtId="9" fontId="118" fillId="0" borderId="48" xfId="3" applyFont="1" applyBorder="1" applyAlignment="1">
      <alignment horizontal="right" vertical="center"/>
    </xf>
    <xf numFmtId="0" fontId="114" fillId="0" borderId="49" xfId="0" applyFont="1" applyBorder="1" applyAlignment="1">
      <alignment horizontal="left" indent="1"/>
    </xf>
    <xf numFmtId="0" fontId="119" fillId="0" borderId="49" xfId="0" applyFont="1" applyBorder="1"/>
    <xf numFmtId="164" fontId="114" fillId="0" borderId="49" xfId="0" applyNumberFormat="1" applyFont="1" applyBorder="1" applyAlignment="1">
      <alignment horizontal="center"/>
    </xf>
    <xf numFmtId="164" fontId="114" fillId="34" borderId="49" xfId="0" applyNumberFormat="1" applyFont="1" applyFill="1" applyBorder="1" applyAlignment="1">
      <alignment horizontal="center"/>
    </xf>
    <xf numFmtId="9" fontId="114" fillId="0" borderId="49" xfId="3" applyFont="1" applyBorder="1" applyAlignment="1">
      <alignment horizontal="right"/>
    </xf>
    <xf numFmtId="169" fontId="13" fillId="35" borderId="0" xfId="1" applyNumberFormat="1" applyFont="1" applyFill="1"/>
    <xf numFmtId="0" fontId="6" fillId="35" borderId="0" xfId="0" applyFont="1" applyFill="1"/>
    <xf numFmtId="171" fontId="90" fillId="0" borderId="0" xfId="623" applyNumberFormat="1" applyFont="1"/>
    <xf numFmtId="43" fontId="90" fillId="0" borderId="0" xfId="623" applyFont="1"/>
    <xf numFmtId="0" fontId="78" fillId="0" borderId="0" xfId="0" quotePrefix="1" applyFont="1" applyAlignment="1">
      <alignment horizontal="center"/>
    </xf>
    <xf numFmtId="207" fontId="1" fillId="0" borderId="0" xfId="623" applyNumberFormat="1" applyFont="1" applyBorder="1" applyAlignment="1" applyProtection="1">
      <alignment horizontal="right"/>
    </xf>
    <xf numFmtId="0" fontId="121" fillId="0" borderId="0" xfId="5" applyFont="1" applyAlignment="1">
      <alignment horizontal="left" indent="1"/>
    </xf>
    <xf numFmtId="0" fontId="122" fillId="0" borderId="0" xfId="0" applyFont="1"/>
    <xf numFmtId="0" fontId="123" fillId="0" borderId="0" xfId="0" applyFont="1"/>
    <xf numFmtId="0" fontId="121" fillId="0" borderId="0" xfId="5" applyFont="1"/>
    <xf numFmtId="169" fontId="121" fillId="0" borderId="0" xfId="1" applyNumberFormat="1" applyFont="1" applyFill="1"/>
    <xf numFmtId="169" fontId="13" fillId="2" borderId="37" xfId="1" applyNumberFormat="1" applyFont="1" applyFill="1" applyBorder="1"/>
    <xf numFmtId="0" fontId="115" fillId="0" borderId="0" xfId="0" applyFont="1" applyAlignment="1">
      <alignment horizontal="left" vertical="center" wrapText="1"/>
    </xf>
    <xf numFmtId="0" fontId="120" fillId="0" borderId="50" xfId="0" applyFont="1" applyBorder="1" applyAlignment="1">
      <alignment horizontal="left" vertical="top" wrapText="1"/>
    </xf>
    <xf numFmtId="0" fontId="6" fillId="0" borderId="0" xfId="0" applyFont="1" applyAlignment="1">
      <alignment horizontal="left" vertical="center" wrapText="1"/>
    </xf>
    <xf numFmtId="0" fontId="79" fillId="0" borderId="19" xfId="0" applyFont="1" applyBorder="1" applyAlignment="1">
      <alignment horizontal="center" vertical="center" wrapText="1"/>
    </xf>
    <xf numFmtId="0" fontId="79" fillId="0" borderId="30" xfId="0" applyFont="1" applyBorder="1" applyAlignment="1">
      <alignment horizontal="center" vertical="center" wrapText="1"/>
    </xf>
    <xf numFmtId="0" fontId="79" fillId="0" borderId="20" xfId="0" applyFont="1" applyBorder="1" applyAlignment="1">
      <alignment horizontal="center" vertical="center" wrapText="1"/>
    </xf>
    <xf numFmtId="0" fontId="10" fillId="0" borderId="0" xfId="0" applyFont="1" applyAlignment="1">
      <alignment horizontal="left" vertical="center" wrapText="1" indent="1"/>
    </xf>
    <xf numFmtId="0" fontId="10" fillId="0" borderId="0" xfId="0" applyFont="1" applyAlignment="1">
      <alignment horizontal="left" vertical="top" wrapText="1" indent="5"/>
    </xf>
    <xf numFmtId="0" fontId="10" fillId="0" borderId="0" xfId="0" applyFont="1" applyAlignment="1">
      <alignment horizontal="center" vertical="top" wrapText="1"/>
    </xf>
    <xf numFmtId="0" fontId="10" fillId="0" borderId="0" xfId="0" applyFont="1" applyAlignment="1">
      <alignment horizontal="left" vertical="top" wrapText="1"/>
    </xf>
    <xf numFmtId="0" fontId="6" fillId="0" borderId="0" xfId="0" applyFont="1" applyAlignment="1">
      <alignment horizontal="left" vertical="top" wrapText="1" indent="1"/>
    </xf>
    <xf numFmtId="0" fontId="13" fillId="0" borderId="0" xfId="0" applyFont="1" applyAlignment="1">
      <alignment horizontal="left" vertical="top" wrapText="1" indent="2"/>
    </xf>
    <xf numFmtId="0" fontId="3" fillId="0" borderId="0" xfId="0" applyFont="1"/>
    <xf numFmtId="0" fontId="6" fillId="0" borderId="0" xfId="0" applyFont="1"/>
    <xf numFmtId="0" fontId="6" fillId="0" borderId="29" xfId="0" applyFont="1" applyBorder="1" applyAlignment="1">
      <alignment horizontal="center" vertical="center" wrapText="1"/>
    </xf>
    <xf numFmtId="0" fontId="77" fillId="26" borderId="26" xfId="0" applyFont="1" applyFill="1" applyBorder="1" applyAlignment="1">
      <alignment horizontal="center" vertical="center" wrapText="1"/>
    </xf>
    <xf numFmtId="0" fontId="77" fillId="26" borderId="0" xfId="0" applyFont="1" applyFill="1" applyAlignment="1">
      <alignment horizontal="center" vertical="center" wrapText="1"/>
    </xf>
    <xf numFmtId="174" fontId="13" fillId="3" borderId="21" xfId="4" applyNumberFormat="1" applyFont="1" applyFill="1" applyBorder="1" applyAlignment="1">
      <alignment horizontal="center" vertical="center"/>
    </xf>
    <xf numFmtId="174" fontId="13" fillId="3" borderId="3" xfId="4" applyNumberFormat="1" applyFont="1" applyFill="1" applyBorder="1" applyAlignment="1">
      <alignment horizontal="center" vertical="center"/>
    </xf>
    <xf numFmtId="0" fontId="77" fillId="26" borderId="25" xfId="0" applyFont="1" applyFill="1" applyBorder="1" applyAlignment="1">
      <alignment horizontal="center" vertical="center" wrapText="1"/>
    </xf>
    <xf numFmtId="0" fontId="3" fillId="0" borderId="0" xfId="0" applyFont="1" applyAlignment="1">
      <alignment horizontal="center"/>
    </xf>
    <xf numFmtId="0" fontId="22" fillId="0" borderId="0" xfId="0" applyFont="1" applyAlignment="1">
      <alignment horizontal="left" indent="13"/>
    </xf>
    <xf numFmtId="0" fontId="10" fillId="3" borderId="2" xfId="5" applyFont="1" applyFill="1" applyBorder="1" applyAlignment="1">
      <alignment horizontal="center"/>
    </xf>
    <xf numFmtId="0" fontId="77" fillId="26" borderId="46" xfId="0" applyFont="1" applyFill="1" applyBorder="1" applyAlignment="1">
      <alignment horizontal="center" vertical="center" wrapText="1"/>
    </xf>
  </cellXfs>
  <cellStyles count="629">
    <cellStyle name="20% - Accent1 2" xfId="12" xr:uid="{1A25097B-80E0-4257-8F91-A631C05F48BD}"/>
    <cellStyle name="20% - Accent1 3" xfId="13" xr:uid="{856572B4-BF42-4D77-9053-446498ADEDD7}"/>
    <cellStyle name="20% - Accent2 2" xfId="14" xr:uid="{C67C7BB6-22C9-4ACD-BB73-FED8D5D8F6C7}"/>
    <cellStyle name="20% - Accent2 3" xfId="15" xr:uid="{1ACD4DF4-5194-466F-B95B-60A95D7C81F6}"/>
    <cellStyle name="20% - Accent3 2" xfId="16" xr:uid="{318C905B-E0E0-4856-86EC-8BEFF27EEF80}"/>
    <cellStyle name="20% - Accent3 3" xfId="17" xr:uid="{816EF2A8-5B35-4407-83DE-570FFD5931D5}"/>
    <cellStyle name="20% - Accent4 2" xfId="18" xr:uid="{48D18173-736D-4810-84EA-3EC35AE9BC92}"/>
    <cellStyle name="20% - Accent4 3" xfId="19" xr:uid="{6BCCA631-F937-4CEF-B960-0C240499C5F7}"/>
    <cellStyle name="20% - Accent5 2" xfId="20" xr:uid="{1EC2D304-87BB-40BC-BF4A-4C228CC54FA1}"/>
    <cellStyle name="20% - Accent5 3" xfId="21" xr:uid="{B1432CA3-78D6-46EF-B05B-B838254615D5}"/>
    <cellStyle name="20% - Accent6 2" xfId="22" xr:uid="{ABFDE05A-055F-4E76-84BC-E0BD8D779652}"/>
    <cellStyle name="20% - Accent6 3" xfId="23" xr:uid="{026FE9E1-A1E0-483E-B87D-39267C709F6D}"/>
    <cellStyle name="40% - Accent1 2" xfId="24" xr:uid="{847397EF-07F0-499F-A660-2E91304084A1}"/>
    <cellStyle name="40% - Accent1 3" xfId="25" xr:uid="{F39B7073-6819-4545-A990-FAD376354299}"/>
    <cellStyle name="40% - Accent2 2" xfId="26" xr:uid="{AC3A898C-EA50-4109-ADC5-D61CD3DA2307}"/>
    <cellStyle name="40% - Accent2 3" xfId="27" xr:uid="{22781EFA-BD4E-48EE-BBF7-B85E304C45A6}"/>
    <cellStyle name="40% - Accent3 2" xfId="28" xr:uid="{C823CCA8-C01C-4673-9E6F-D26F6B93C4E5}"/>
    <cellStyle name="40% - Accent3 3" xfId="29" xr:uid="{5E9ADD31-9122-4196-BB73-F84804D5F0EC}"/>
    <cellStyle name="40% - Accent4 2" xfId="30" xr:uid="{F99CB955-CFFE-44B5-A615-56C922F5AAAA}"/>
    <cellStyle name="40% - Accent4 3" xfId="31" xr:uid="{3BAE0110-BFCD-41FE-9271-8AF92E00FB77}"/>
    <cellStyle name="40% - Accent5 2" xfId="32" xr:uid="{7DBD2342-1055-4EE8-A78C-0C7404EEEACA}"/>
    <cellStyle name="40% - Accent5 3" xfId="33" xr:uid="{4A3891B2-0703-4F5A-ACA0-E2CF9E1DEA25}"/>
    <cellStyle name="40% - Accent6 2" xfId="34" xr:uid="{4952B182-5555-4E84-AA15-1FE18FB128F2}"/>
    <cellStyle name="40% - Accent6 3" xfId="35" xr:uid="{507A1DAA-724A-42BA-B7FB-91A0A1ED2BC4}"/>
    <cellStyle name="60% - Accent1 2" xfId="36" xr:uid="{5CC0309D-AB35-4A8C-AE5D-6A0357C998E4}"/>
    <cellStyle name="60% - Accent1 3" xfId="37" xr:uid="{C5C00747-BDAE-4C1B-9A03-7D4A59828A40}"/>
    <cellStyle name="60% - Accent2 2" xfId="38" xr:uid="{345FCB89-8830-45F2-ABC5-F64C83FE8338}"/>
    <cellStyle name="60% - Accent2 3" xfId="39" xr:uid="{CE0F210C-64DE-4E43-8F89-A34AAAB93196}"/>
    <cellStyle name="60% - Accent3 2" xfId="40" xr:uid="{7913B2B7-16FA-4F14-AAB8-F0FAE158F8BD}"/>
    <cellStyle name="60% - Accent3 3" xfId="41" xr:uid="{C17B5D35-D509-4E6B-A0A5-C656F6C440A6}"/>
    <cellStyle name="60% - Accent4 2" xfId="42" xr:uid="{DC62A077-B455-4DA0-B8BB-46CE91ECEB80}"/>
    <cellStyle name="60% - Accent4 3" xfId="43" xr:uid="{6DD0B427-5081-414C-B565-A36929AFE7C9}"/>
    <cellStyle name="60% - Accent5 2" xfId="44" xr:uid="{71A3CE86-61FC-49DD-A798-EA9D25BE84A8}"/>
    <cellStyle name="60% - Accent5 3" xfId="45" xr:uid="{78FCFFE5-8143-4098-B131-9E36BF4E0173}"/>
    <cellStyle name="60% - Accent6 2" xfId="46" xr:uid="{243C8763-0346-49F3-A4D2-31CAF9DAB18B}"/>
    <cellStyle name="60% - Accent6 3" xfId="47" xr:uid="{7D81CB6C-8538-40AE-9840-76221016DE24}"/>
    <cellStyle name="Accent1 2" xfId="48" xr:uid="{B223C743-FE9D-4320-8941-BD64A4431E07}"/>
    <cellStyle name="Accent1 3" xfId="49" xr:uid="{2810D782-0942-44A2-A63F-A94D4E79DFED}"/>
    <cellStyle name="Accent2 2" xfId="50" xr:uid="{B74FD381-635E-46A1-8C71-94AA7E58F6BD}"/>
    <cellStyle name="Accent2 3" xfId="51" xr:uid="{CDDB47AD-FC53-4AE5-A14D-77F43D18EA7C}"/>
    <cellStyle name="Accent3 2" xfId="52" xr:uid="{0AB57CE0-DF56-44FD-B60D-957F7052DE4F}"/>
    <cellStyle name="Accent3 3" xfId="53" xr:uid="{1AF76DBD-D3F6-464A-B57B-7D0F589DA073}"/>
    <cellStyle name="Accent4 2" xfId="54" xr:uid="{EC79B753-3038-4374-BD77-AA37701AB6DB}"/>
    <cellStyle name="Accent4 3" xfId="55" xr:uid="{63DDFB7A-4B39-4120-8FBA-19BC4508E391}"/>
    <cellStyle name="Accent5 2" xfId="56" xr:uid="{D2EF87DC-265B-4744-9D00-21094F209449}"/>
    <cellStyle name="Accent5 3" xfId="57" xr:uid="{80EABF74-9865-4E80-920E-EAC38EA5AEED}"/>
    <cellStyle name="Accent6 2" xfId="58" xr:uid="{BF464100-6B51-4410-9DC5-BE81AD532DEA}"/>
    <cellStyle name="Accent6 3" xfId="59" xr:uid="{3819ACF6-EA32-4261-BF6E-2E07FEEDA649}"/>
    <cellStyle name="AFE" xfId="60" xr:uid="{F0E3CC1E-D9B5-4A15-B918-40CEF2D4E01F}"/>
    <cellStyle name="Bad 2" xfId="61" xr:uid="{C4D9423D-CDD2-4DB2-B31A-4711389A156C}"/>
    <cellStyle name="Bad 3" xfId="62" xr:uid="{CC77F530-722A-4167-8D1E-FCA04474FD2B}"/>
    <cellStyle name="Bom 2" xfId="63" xr:uid="{877D6A7A-E3C9-45FD-B642-73732F04D6F9}"/>
    <cellStyle name="Calculation 2" xfId="64" xr:uid="{972F2971-D78B-40A1-AFD8-07BDE81A3148}"/>
    <cellStyle name="Calculation 3" xfId="65" xr:uid="{D171E6D7-F07A-40C5-A790-6379AA034C0A}"/>
    <cellStyle name="Célula de Verificação 2" xfId="66" xr:uid="{2E978E06-D822-4D7E-88C7-0F1845C8D002}"/>
    <cellStyle name="Célula Vinculada 2" xfId="67" xr:uid="{69AC8454-94B0-41D2-B4FB-473796AC2093}"/>
    <cellStyle name="Centered Heading" xfId="68" xr:uid="{700055DB-E3E3-464C-9968-CED4F634067B}"/>
    <cellStyle name="CenterHead" xfId="69" xr:uid="{A5D3A6EE-9930-450F-B235-614C7EE0AAF3}"/>
    <cellStyle name="Check Cell 2" xfId="70" xr:uid="{6A805481-9175-4FCB-B873-FCA8314E32B6}"/>
    <cellStyle name="Check Cell 3" xfId="71" xr:uid="{B45E6F83-A9DF-47CC-A070-829817E63F6C}"/>
    <cellStyle name="Column_Title" xfId="72" xr:uid="{388CCAE8-9C85-4235-AA23-7B8BFB39F1AC}"/>
    <cellStyle name="Comma 0.0" xfId="73" xr:uid="{6AB90116-1A8A-474D-AAFA-B6ACB35D7037}"/>
    <cellStyle name="Comma 0.00" xfId="74" xr:uid="{40B857DB-833D-42D4-B1DF-B464106551A3}"/>
    <cellStyle name="Comma 0.000" xfId="75" xr:uid="{BECD0D2A-3F31-4A33-805D-1CA162BAC3F4}"/>
    <cellStyle name="Comma 2" xfId="10" xr:uid="{6428B70A-7865-4C04-A634-763A43ADFFD4}"/>
    <cellStyle name="Comma 2 2" xfId="76" xr:uid="{145DCC30-D8BA-4D65-AFE4-5EB4C8C3BC77}"/>
    <cellStyle name="Comma 2 2 2" xfId="204" xr:uid="{0941A0DC-FF64-4319-B25B-C05F2FD7A549}"/>
    <cellStyle name="Comma 2 2 2 2" xfId="230" xr:uid="{ADFA2A10-B51F-44D1-94D7-B759B85DCAA6}"/>
    <cellStyle name="Comma 2 2 2 2 2" xfId="323" xr:uid="{9A12BF04-63F1-4BDC-B799-D92EE00202C2}"/>
    <cellStyle name="Comma 2 2 2 2 2 2" xfId="415" xr:uid="{0F0A10D8-EF7F-4E7F-B322-F15E769E6B2C}"/>
    <cellStyle name="Comma 2 2 2 2 2 2 2" xfId="604" xr:uid="{F9C2B772-0C97-4CB3-A53B-F403F0A90C02}"/>
    <cellStyle name="Comma 2 2 2 2 2 3" xfId="512" xr:uid="{A8071E8E-63AF-4B74-95C1-1DB1D8C5DC57}"/>
    <cellStyle name="Comma 2 2 2 2 3" xfId="369" xr:uid="{A5C2A962-E1C8-4473-B357-ED9BE93BCC81}"/>
    <cellStyle name="Comma 2 2 2 2 3 2" xfId="558" xr:uid="{28D46B55-0B19-49EC-8A66-8B52128B78F0}"/>
    <cellStyle name="Comma 2 2 2 2 4" xfId="277" xr:uid="{543AF57A-BABD-4836-9755-259F5939CEA3}"/>
    <cellStyle name="Comma 2 2 2 2 5" xfId="466" xr:uid="{5D7E004F-59A9-4EDA-9E38-BCC6E1CDA91F}"/>
    <cellStyle name="Comma 2 2 2 3" xfId="300" xr:uid="{434F5A1B-B635-4E34-BA69-38D5294172FB}"/>
    <cellStyle name="Comma 2 2 2 3 2" xfId="392" xr:uid="{E5E27891-4004-484F-8495-4A9C4385B90F}"/>
    <cellStyle name="Comma 2 2 2 3 2 2" xfId="581" xr:uid="{E0F249A2-813C-4EB3-A062-6EE67A43ABF5}"/>
    <cellStyle name="Comma 2 2 2 3 3" xfId="489" xr:uid="{C5D395C7-AF70-4E7B-8ABA-C5F2E24E69F7}"/>
    <cellStyle name="Comma 2 2 2 4" xfId="346" xr:uid="{EE858A30-5158-4FA0-829A-B7FD58E23EAC}"/>
    <cellStyle name="Comma 2 2 2 4 2" xfId="535" xr:uid="{086F36C0-EA03-423E-BBE1-7DAD32BFEFD1}"/>
    <cellStyle name="Comma 2 2 2 5" xfId="254" xr:uid="{E59D5D02-F4C4-4560-B370-3B8F23A13585}"/>
    <cellStyle name="Comma 2 2 2 6" xfId="443" xr:uid="{2F7103B1-2A7C-40DB-9188-7EFC313A63C8}"/>
    <cellStyle name="Comma 2 3" xfId="77" xr:uid="{0D71662F-315C-4FD8-9BAC-ADA7F37EA8B2}"/>
    <cellStyle name="Comma 2 4" xfId="78" xr:uid="{3BAB4C45-9446-4749-AB06-359BB4B0D720}"/>
    <cellStyle name="Comma 2 4 2" xfId="200" xr:uid="{683C2EB5-5FD3-45F7-8BB6-4B38AEF4F7AB}"/>
    <cellStyle name="Comma 2 4 2 2" xfId="221" xr:uid="{8E01DE3D-AE50-499F-A285-C22A6DB2C154}"/>
    <cellStyle name="Comma 2 4 2 2 2" xfId="244" xr:uid="{0DFC9734-C846-4C7A-80E2-A76AA1C809A0}"/>
    <cellStyle name="Comma 2 4 2 2 2 2" xfId="337" xr:uid="{8B1F5193-4FBC-479A-84EB-4A13D87BDD74}"/>
    <cellStyle name="Comma 2 4 2 2 2 2 2" xfId="429" xr:uid="{35158CC2-4554-4DC7-8528-F8362B89F78A}"/>
    <cellStyle name="Comma 2 4 2 2 2 2 2 2" xfId="618" xr:uid="{90D4D4E9-9331-42A8-8515-7A697122D362}"/>
    <cellStyle name="Comma 2 4 2 2 2 2 3" xfId="526" xr:uid="{4FB43C0F-1412-4A99-AE11-9530CD101478}"/>
    <cellStyle name="Comma 2 4 2 2 2 3" xfId="383" xr:uid="{621ABDA0-3F25-472B-86D4-86C638F39884}"/>
    <cellStyle name="Comma 2 4 2 2 2 3 2" xfId="572" xr:uid="{4398FEFB-C350-4266-AFC5-B643C50C7189}"/>
    <cellStyle name="Comma 2 4 2 2 2 4" xfId="291" xr:uid="{918FECF2-E701-4380-9F89-8765CCD14FC0}"/>
    <cellStyle name="Comma 2 4 2 2 2 5" xfId="480" xr:uid="{C0AA0A71-5061-468A-A85A-A369F5CA34E0}"/>
    <cellStyle name="Comma 2 4 2 2 3" xfId="314" xr:uid="{DD503F28-4156-4855-BD55-09A3ED2AC45C}"/>
    <cellStyle name="Comma 2 4 2 2 3 2" xfId="406" xr:uid="{7D426E8F-C91A-4602-9122-D70F7EE5C316}"/>
    <cellStyle name="Comma 2 4 2 2 3 2 2" xfId="595" xr:uid="{299E49E9-A431-4604-B116-6473DF54F560}"/>
    <cellStyle name="Comma 2 4 2 2 3 3" xfId="503" xr:uid="{ABA1AFFC-0281-4D04-BE98-C0919DBC6392}"/>
    <cellStyle name="Comma 2 4 2 2 4" xfId="360" xr:uid="{ACD400E0-0046-4ECA-9C13-C3E719C95043}"/>
    <cellStyle name="Comma 2 4 2 2 4 2" xfId="549" xr:uid="{D79B3904-DFB2-4219-9944-B3EC3D769919}"/>
    <cellStyle name="Comma 2 4 2 2 5" xfId="268" xr:uid="{71730786-3E9E-48D7-94E6-ABFD8CB92F90}"/>
    <cellStyle name="Comma 2 4 2 2 6" xfId="457" xr:uid="{46D87330-6F4A-402C-BF27-31150439A635}"/>
    <cellStyle name="Comma 2 4 3" xfId="205" xr:uid="{8F214819-9980-4D7C-A33D-E3DB201BD900}"/>
    <cellStyle name="Comma 2 4 3 2" xfId="231" xr:uid="{67F68766-1B6E-4690-AA96-2F05261481D1}"/>
    <cellStyle name="Comma 2 4 3 2 2" xfId="324" xr:uid="{1B6352A3-F4F0-40C2-8C38-AB3F52391AD6}"/>
    <cellStyle name="Comma 2 4 3 2 2 2" xfId="416" xr:uid="{3F415854-E02D-4ED0-ABD1-494B21777A25}"/>
    <cellStyle name="Comma 2 4 3 2 2 2 2" xfId="605" xr:uid="{47EE5A92-8173-4A71-A277-0E470C4E5294}"/>
    <cellStyle name="Comma 2 4 3 2 2 3" xfId="513" xr:uid="{4AC84AAA-636A-450E-8A65-E5ED3F176028}"/>
    <cellStyle name="Comma 2 4 3 2 3" xfId="370" xr:uid="{BD9EAA04-24DC-4EA4-B2AD-2A796EB3B5B2}"/>
    <cellStyle name="Comma 2 4 3 2 3 2" xfId="559" xr:uid="{708B10F3-A3BD-4A85-88F0-D9674029E8EF}"/>
    <cellStyle name="Comma 2 4 3 2 4" xfId="278" xr:uid="{C3008C2E-7FF8-4FE7-98F1-B39E684B1BCC}"/>
    <cellStyle name="Comma 2 4 3 2 5" xfId="467" xr:uid="{BC67E70F-61FE-434E-8E46-9F9C99FCBFE1}"/>
    <cellStyle name="Comma 2 4 3 3" xfId="301" xr:uid="{27E50B24-5585-47B7-8963-06FB6C499E64}"/>
    <cellStyle name="Comma 2 4 3 3 2" xfId="393" xr:uid="{9851E2BB-7332-4C7E-9025-AA7DC71221EF}"/>
    <cellStyle name="Comma 2 4 3 3 2 2" xfId="582" xr:uid="{B27C3B7E-3432-44F5-A3B5-F23CD0FFDD6C}"/>
    <cellStyle name="Comma 2 4 3 3 3" xfId="490" xr:uid="{20560B5F-E88F-4076-8773-F666B98F2318}"/>
    <cellStyle name="Comma 2 4 3 4" xfId="347" xr:uid="{A1732714-47BE-4CD9-AA37-5EBF5463A79C}"/>
    <cellStyle name="Comma 2 4 3 4 2" xfId="536" xr:uid="{AD90F914-CAEF-41AC-ADEE-1163730ED2AC}"/>
    <cellStyle name="Comma 2 4 3 5" xfId="255" xr:uid="{C6D4EDF7-00CF-461F-8540-883DD73BB887}"/>
    <cellStyle name="Comma 2 4 3 6" xfId="444" xr:uid="{43205B6D-ED2C-4F3A-864B-94C6EEB6540C}"/>
    <cellStyle name="Comma 2 5" xfId="203" xr:uid="{AA91FD44-73DD-419C-BB99-CF3758AB6D7A}"/>
    <cellStyle name="Comma 2 5 2" xfId="229" xr:uid="{CE26BAAD-37E2-49B4-8E26-C9E6370AB49A}"/>
    <cellStyle name="Comma 2 5 2 2" xfId="322" xr:uid="{9726E411-EC47-4FD2-BCB2-F5CDDB94EC09}"/>
    <cellStyle name="Comma 2 5 2 2 2" xfId="414" xr:uid="{C723F3F3-CF40-44E0-8398-27A80E8E8705}"/>
    <cellStyle name="Comma 2 5 2 2 2 2" xfId="603" xr:uid="{6754DF52-F3B5-4288-9B56-D8649AB435D9}"/>
    <cellStyle name="Comma 2 5 2 2 3" xfId="511" xr:uid="{C9047BEC-18E8-4DC5-BAD6-04EBB9D5809A}"/>
    <cellStyle name="Comma 2 5 2 3" xfId="368" xr:uid="{BE97AE4C-F92D-4182-83C9-08B232F62571}"/>
    <cellStyle name="Comma 2 5 2 3 2" xfId="557" xr:uid="{0F3CED50-635F-4DB1-B733-7C1E4C14C22E}"/>
    <cellStyle name="Comma 2 5 2 4" xfId="276" xr:uid="{D85BC525-DEC5-4772-8C26-146D2784B8EF}"/>
    <cellStyle name="Comma 2 5 2 5" xfId="465" xr:uid="{E93F5812-6CD4-4A39-8DB4-EE0ADD644B28}"/>
    <cellStyle name="Comma 2 5 3" xfId="299" xr:uid="{C59CA028-275B-466B-B56B-8D202F208F19}"/>
    <cellStyle name="Comma 2 5 3 2" xfId="391" xr:uid="{CE6CCFA0-EB89-44EC-9AAE-FFDC7A1FB8E1}"/>
    <cellStyle name="Comma 2 5 3 2 2" xfId="580" xr:uid="{95558E88-3112-4447-9725-454D9DED7542}"/>
    <cellStyle name="Comma 2 5 3 3" xfId="488" xr:uid="{DA31F15E-5EFB-42F1-8548-BBF39293AA17}"/>
    <cellStyle name="Comma 2 5 4" xfId="345" xr:uid="{FF3E7507-5934-4C0D-B24F-00E88925D3B8}"/>
    <cellStyle name="Comma 2 5 4 2" xfId="534" xr:uid="{6C39E693-A5A7-4037-928C-27D6E8EE89ED}"/>
    <cellStyle name="Comma 2 5 5" xfId="253" xr:uid="{4CA763DA-49C5-4072-9CF9-2F67C0997510}"/>
    <cellStyle name="Comma 2 5 6" xfId="442" xr:uid="{D0A5800A-545F-4AC2-841C-34C134025E75}"/>
    <cellStyle name="Comma 3" xfId="79" xr:uid="{E1EFEF73-32AF-4777-9787-0F4E127FAB4C}"/>
    <cellStyle name="Comma 3 2" xfId="80" xr:uid="{F635068F-106E-4106-A221-95E2B5677680}"/>
    <cellStyle name="Comma 3 2 2" xfId="207" xr:uid="{7732AB23-DED5-4667-9242-BFAFA1B2B3B7}"/>
    <cellStyle name="Comma 3 2 2 2" xfId="233" xr:uid="{80218B93-3818-42D9-B1E0-85A1962F0236}"/>
    <cellStyle name="Comma 3 2 2 2 2" xfId="326" xr:uid="{F9C4E183-0EB9-4B25-913F-B1B6600840C4}"/>
    <cellStyle name="Comma 3 2 2 2 2 2" xfId="418" xr:uid="{42F0AF01-5F9D-4DE7-903F-EDC987DAFDD6}"/>
    <cellStyle name="Comma 3 2 2 2 2 2 2" xfId="607" xr:uid="{54EF6CD4-BBAE-4C9D-ADA5-E6E730AB631A}"/>
    <cellStyle name="Comma 3 2 2 2 2 3" xfId="515" xr:uid="{876AAE3F-F228-48F8-888E-50BC89A34EFE}"/>
    <cellStyle name="Comma 3 2 2 2 3" xfId="372" xr:uid="{D05A6E08-B98C-4AA1-9AB3-DB45C2ADFE2F}"/>
    <cellStyle name="Comma 3 2 2 2 3 2" xfId="561" xr:uid="{03438048-4AE3-40C5-B514-96860163B5AE}"/>
    <cellStyle name="Comma 3 2 2 2 4" xfId="280" xr:uid="{380A6B75-0708-466A-9B61-022A10B01C88}"/>
    <cellStyle name="Comma 3 2 2 2 5" xfId="469" xr:uid="{A1757130-2A0F-433D-8EA5-BD078D9FC59C}"/>
    <cellStyle name="Comma 3 2 2 3" xfId="303" xr:uid="{BF8FB341-9679-4BCB-92B0-E238B6AF6006}"/>
    <cellStyle name="Comma 3 2 2 3 2" xfId="395" xr:uid="{1FC60656-DB0C-4125-8030-FD1117DEEF86}"/>
    <cellStyle name="Comma 3 2 2 3 2 2" xfId="584" xr:uid="{94EECD5B-8DCB-41C4-A593-039FCCFFC55D}"/>
    <cellStyle name="Comma 3 2 2 3 3" xfId="492" xr:uid="{CF9AE87D-A430-4FDC-9D2B-DCA03B6363B3}"/>
    <cellStyle name="Comma 3 2 2 4" xfId="349" xr:uid="{1691C5B0-11EF-41FF-9FBF-E7499F52A50B}"/>
    <cellStyle name="Comma 3 2 2 4 2" xfId="538" xr:uid="{A8C86259-3E6E-410F-9369-0E3B8F0BEB98}"/>
    <cellStyle name="Comma 3 2 2 5" xfId="257" xr:uid="{A26DC1BE-97A1-455E-9592-29FDAB4F0F49}"/>
    <cellStyle name="Comma 3 2 2 6" xfId="446" xr:uid="{F09219FB-5758-4009-AF45-7C03EF7897C0}"/>
    <cellStyle name="Comma 3 3" xfId="206" xr:uid="{5973D4C2-BC1E-4D1E-BD7E-6918155A6A34}"/>
    <cellStyle name="Comma 3 3 2" xfId="232" xr:uid="{73B2B08A-307F-42A7-A852-8388C49602B9}"/>
    <cellStyle name="Comma 3 3 2 2" xfId="325" xr:uid="{39F7CD5D-A9DE-4194-B2BB-A3CAF0A0E4A4}"/>
    <cellStyle name="Comma 3 3 2 2 2" xfId="417" xr:uid="{EDBBAEE3-C9CB-4E4B-876D-C9B30A26BA42}"/>
    <cellStyle name="Comma 3 3 2 2 2 2" xfId="606" xr:uid="{4195F3F5-C61F-40CA-9764-737BF52C0C6D}"/>
    <cellStyle name="Comma 3 3 2 2 3" xfId="514" xr:uid="{D4E610D9-21ED-4BCA-ACCB-628A43267A79}"/>
    <cellStyle name="Comma 3 3 2 3" xfId="371" xr:uid="{FAD7BDBF-88A4-43A0-A2AD-D5E1F37AD66D}"/>
    <cellStyle name="Comma 3 3 2 3 2" xfId="560" xr:uid="{47B7AF0B-F78C-47B5-9FC1-6D5AAEF59F12}"/>
    <cellStyle name="Comma 3 3 2 4" xfId="279" xr:uid="{F9ADB4CB-154D-4770-BC75-6E20E786AB37}"/>
    <cellStyle name="Comma 3 3 2 5" xfId="468" xr:uid="{02DE5BCA-BBD7-4F2E-BAB7-D839B3463389}"/>
    <cellStyle name="Comma 3 3 3" xfId="302" xr:uid="{B69810E7-07B2-4B36-A54E-8071D7AF48B3}"/>
    <cellStyle name="Comma 3 3 3 2" xfId="394" xr:uid="{A5209974-94E4-4D53-978D-A386B62900B3}"/>
    <cellStyle name="Comma 3 3 3 2 2" xfId="583" xr:uid="{6C6B9E89-1E17-4C2B-8F4D-02ACB46AAF07}"/>
    <cellStyle name="Comma 3 3 3 3" xfId="491" xr:uid="{3104C2D9-9306-4858-B5C1-30C117F5BDD4}"/>
    <cellStyle name="Comma 3 3 4" xfId="348" xr:uid="{65F18E0C-D24A-447F-B82A-9A16AA62FB1F}"/>
    <cellStyle name="Comma 3 3 4 2" xfId="537" xr:uid="{C7367036-00BB-4579-A0FF-75B39E609579}"/>
    <cellStyle name="Comma 3 3 5" xfId="256" xr:uid="{45F67283-5025-4A0F-8568-740EE6FC3494}"/>
    <cellStyle name="Comma 3 3 6" xfId="445" xr:uid="{2D0994F4-5E53-479F-AAE1-37496294E068}"/>
    <cellStyle name="Comma 4" xfId="81" xr:uid="{57C286C2-745E-4ABD-BC82-CDF4EAA7C9C2}"/>
    <cellStyle name="Comma 4 2" xfId="208" xr:uid="{6C89BF95-A091-474F-AB19-95ADEAEFB3CB}"/>
    <cellStyle name="Comma 4 2 2" xfId="234" xr:uid="{5D6BF35F-8CE7-4694-A954-6AB1AF32C58E}"/>
    <cellStyle name="Comma 4 2 2 2" xfId="327" xr:uid="{6F441737-5406-473A-B84F-FA474A1C6CBB}"/>
    <cellStyle name="Comma 4 2 2 2 2" xfId="419" xr:uid="{D62891C4-925D-44BD-BCBB-7920D66330B1}"/>
    <cellStyle name="Comma 4 2 2 2 2 2" xfId="608" xr:uid="{6E6C603A-66A3-45F9-8C00-CF7C7BA59153}"/>
    <cellStyle name="Comma 4 2 2 2 3" xfId="516" xr:uid="{ACC45CAB-11A9-4A62-BBBD-914DF25BD02B}"/>
    <cellStyle name="Comma 4 2 2 3" xfId="373" xr:uid="{8F62CF39-EE41-4242-A121-29AAFA15CCE8}"/>
    <cellStyle name="Comma 4 2 2 3 2" xfId="562" xr:uid="{37FA5481-46F5-4EF2-8076-4356D005F09A}"/>
    <cellStyle name="Comma 4 2 2 4" xfId="281" xr:uid="{D5FF6331-A7CB-4B54-92A2-6245938965B3}"/>
    <cellStyle name="Comma 4 2 2 5" xfId="470" xr:uid="{3E32B602-3145-42FD-AA32-FF25E8EC1770}"/>
    <cellStyle name="Comma 4 2 3" xfId="304" xr:uid="{82C918A3-97AF-4A1C-B6DD-396999BA4813}"/>
    <cellStyle name="Comma 4 2 3 2" xfId="396" xr:uid="{4ACCBF62-C4FF-4C69-8459-E9ED36F2BEDA}"/>
    <cellStyle name="Comma 4 2 3 2 2" xfId="585" xr:uid="{BD1B448D-8CA0-468D-93DA-E2749A389695}"/>
    <cellStyle name="Comma 4 2 3 3" xfId="493" xr:uid="{D2AFF12C-67AB-475E-ABC3-7E5CDE71474C}"/>
    <cellStyle name="Comma 4 2 4" xfId="350" xr:uid="{E54D31D3-EE93-4EAB-B022-66F9720FD509}"/>
    <cellStyle name="Comma 4 2 4 2" xfId="539" xr:uid="{6C1BFAC2-6F24-483C-8FF3-41E07A3D68BA}"/>
    <cellStyle name="Comma 4 2 5" xfId="258" xr:uid="{3408D5F0-92F5-4F3D-9002-4562E1F461C8}"/>
    <cellStyle name="Comma 4 2 6" xfId="447" xr:uid="{5DF5FC18-4ED0-4F28-9235-7EA848B98CCC}"/>
    <cellStyle name="Comma 4 3" xfId="223" xr:uid="{C2980621-3C55-4BB0-83B2-5EE44ED0EBD1}"/>
    <cellStyle name="Comma 4 3 2" xfId="316" xr:uid="{419055FA-009A-4661-9CB1-C745B38FA8E9}"/>
    <cellStyle name="Comma 4 3 2 2" xfId="408" xr:uid="{0303F72E-5E2F-4BFD-B24D-127E4BD9B126}"/>
    <cellStyle name="Comma 4 3 2 2 2" xfId="597" xr:uid="{FD4F0FB0-B463-4516-9968-AB0403B39B13}"/>
    <cellStyle name="Comma 4 3 2 3" xfId="505" xr:uid="{ED0B3447-3685-4659-B8A2-E2DB6B82A2ED}"/>
    <cellStyle name="Comma 4 3 3" xfId="362" xr:uid="{48CD06B9-8AF6-43DE-AD36-24BACEEE56EB}"/>
    <cellStyle name="Comma 4 3 3 2" xfId="551" xr:uid="{FE4A2779-18C9-412C-84C8-08FFC375ECA8}"/>
    <cellStyle name="Comma 4 3 4" xfId="270" xr:uid="{22BDFD34-76FD-471A-B3C8-4F596B49E163}"/>
    <cellStyle name="Comma 4 3 5" xfId="459" xr:uid="{D7796B44-BC9F-4B44-98F5-555229DD6D7E}"/>
    <cellStyle name="Comma 4 4" xfId="293" xr:uid="{93CAC9A9-5C83-4CD4-87D0-ACFD1A3871D7}"/>
    <cellStyle name="Comma 4 4 2" xfId="385" xr:uid="{AC271DB3-7195-4916-A5B3-5381BD2A63B6}"/>
    <cellStyle name="Comma 4 4 2 2" xfId="574" xr:uid="{C14A17BB-29EB-4B67-8BD7-27C76A0C99B2}"/>
    <cellStyle name="Comma 4 4 3" xfId="482" xr:uid="{C8341FD4-648C-4A14-A238-6E60B6B70DA2}"/>
    <cellStyle name="Comma 4 5" xfId="339" xr:uid="{21D46BE9-1FC2-4F12-80C9-6B0F12C555CE}"/>
    <cellStyle name="Comma 4 5 2" xfId="528" xr:uid="{8B794ED4-541D-41EB-AC90-4047401CD264}"/>
    <cellStyle name="Comma 4 6" xfId="247" xr:uid="{1B9CBDFF-C028-4FD9-B072-5726C8871001}"/>
    <cellStyle name="Comma 4 7" xfId="436" xr:uid="{1E6B1D34-B9B8-4398-B665-951A09AF3713}"/>
    <cellStyle name="Comma 5" xfId="82" xr:uid="{528E3A41-F7A4-448B-8B3F-E0B9549B5213}"/>
    <cellStyle name="Comma 5 2" xfId="209" xr:uid="{309553D8-D547-480F-8267-A46658C39F92}"/>
    <cellStyle name="Comma 5 2 2" xfId="235" xr:uid="{D409B38A-3C50-4A15-A80E-154F8FD7A168}"/>
    <cellStyle name="Comma 5 2 2 2" xfId="328" xr:uid="{1AA39881-D045-4BC6-A234-30ED5B19E958}"/>
    <cellStyle name="Comma 5 2 2 2 2" xfId="420" xr:uid="{3B53DD29-8EC0-4E0D-B4F4-A85BA2A65EB4}"/>
    <cellStyle name="Comma 5 2 2 2 2 2" xfId="609" xr:uid="{6B34B12B-B1CA-4221-9D7D-6D944B976D3F}"/>
    <cellStyle name="Comma 5 2 2 2 3" xfId="517" xr:uid="{CB95A14C-2F5B-49AE-B0C6-015409603DC1}"/>
    <cellStyle name="Comma 5 2 2 3" xfId="374" xr:uid="{5BBC4BB3-3A43-4D5A-BBB6-306BB0180723}"/>
    <cellStyle name="Comma 5 2 2 3 2" xfId="563" xr:uid="{841A4A1D-4A8F-4C16-A175-A0D858CD5C4D}"/>
    <cellStyle name="Comma 5 2 2 4" xfId="282" xr:uid="{EB6DD5FE-0575-46CA-B802-11AB29BFD972}"/>
    <cellStyle name="Comma 5 2 2 5" xfId="471" xr:uid="{55FC483A-4A0F-4373-8803-6BA22486CBFD}"/>
    <cellStyle name="Comma 5 2 3" xfId="305" xr:uid="{8C27F5BB-F4F9-4527-ACDC-CC2981AFCCE9}"/>
    <cellStyle name="Comma 5 2 3 2" xfId="397" xr:uid="{254751EA-8857-42C1-98F5-52CA6E4F4860}"/>
    <cellStyle name="Comma 5 2 3 2 2" xfId="586" xr:uid="{F33A9456-87BA-421C-A9A2-963E53EBAA6A}"/>
    <cellStyle name="Comma 5 2 3 3" xfId="494" xr:uid="{DEE11C5F-3013-429A-8FE4-7CD371DDC5AF}"/>
    <cellStyle name="Comma 5 2 4" xfId="351" xr:uid="{29740DCF-C8B5-4450-9277-139FB29D5AEC}"/>
    <cellStyle name="Comma 5 2 4 2" xfId="540" xr:uid="{0C26EE7E-3A1B-41D7-9617-822951302F80}"/>
    <cellStyle name="Comma 5 2 5" xfId="259" xr:uid="{618A3CA1-1C26-46DB-9B3A-BAAB7F0C2A04}"/>
    <cellStyle name="Comma 5 2 6" xfId="448" xr:uid="{8035016B-D82A-4D1C-95E6-07FB8CEC662A}"/>
    <cellStyle name="Comma 6" xfId="83" xr:uid="{C677EE0F-2183-45EA-BA5D-DB678BD4D804}"/>
    <cellStyle name="Comma 6 2" xfId="210" xr:uid="{209A0623-F73E-43C4-9B97-30B2D0E3C0C5}"/>
    <cellStyle name="Comma 6 2 2" xfId="236" xr:uid="{A2FC6E37-519A-4950-B7E1-D1C6DAF35FB4}"/>
    <cellStyle name="Comma 6 2 2 2" xfId="329" xr:uid="{A4C411B1-B21B-43E2-8617-ED2009B33121}"/>
    <cellStyle name="Comma 6 2 2 2 2" xfId="421" xr:uid="{B3AD0F48-62D2-4EA4-BBC7-C743605C0801}"/>
    <cellStyle name="Comma 6 2 2 2 2 2" xfId="610" xr:uid="{1C96883E-AC86-4726-B207-3F9D3C8A539C}"/>
    <cellStyle name="Comma 6 2 2 2 3" xfId="518" xr:uid="{F570196E-B1A5-4575-B56A-EC0DDCB090C1}"/>
    <cellStyle name="Comma 6 2 2 3" xfId="375" xr:uid="{74D0F7CB-3256-4969-A8BB-B81EBDACF8D7}"/>
    <cellStyle name="Comma 6 2 2 3 2" xfId="564" xr:uid="{18E151BA-7457-465F-A241-A9627DBCA254}"/>
    <cellStyle name="Comma 6 2 2 4" xfId="283" xr:uid="{4BA38325-EFB7-44D9-8E80-3974B2ADB9A5}"/>
    <cellStyle name="Comma 6 2 2 5" xfId="472" xr:uid="{A0729C12-079A-41A9-806C-793E93BCECCC}"/>
    <cellStyle name="Comma 6 2 3" xfId="306" xr:uid="{B622D647-CF4F-4933-BA24-4034AF03DA20}"/>
    <cellStyle name="Comma 6 2 3 2" xfId="398" xr:uid="{412A3E59-4A9A-4FE5-BE25-12DE039EAD39}"/>
    <cellStyle name="Comma 6 2 3 2 2" xfId="587" xr:uid="{4764A516-F5BA-4C2B-90F8-289D50A75129}"/>
    <cellStyle name="Comma 6 2 3 3" xfId="495" xr:uid="{078EFABF-10F0-4E50-8524-2E2FEB8850A0}"/>
    <cellStyle name="Comma 6 2 4" xfId="352" xr:uid="{E75EEFE7-79D7-464F-996F-3D0445BC4A45}"/>
    <cellStyle name="Comma 6 2 4 2" xfId="541" xr:uid="{7F4DC0A1-9508-49F9-9212-E9E3492BB575}"/>
    <cellStyle name="Comma 6 2 5" xfId="260" xr:uid="{A7DDB30C-74CB-4088-87B1-E6C528B1CF87}"/>
    <cellStyle name="Comma 6 2 6" xfId="449" xr:uid="{8F41AE43-C337-4A5A-B7CB-C8159033F666}"/>
    <cellStyle name="Comma 6 3" xfId="224" xr:uid="{7B7291CD-708D-4999-9293-8175E342FD9F}"/>
    <cellStyle name="Comma 6 3 2" xfId="317" xr:uid="{5C580A4E-34CC-49F7-843E-413DEC38B93A}"/>
    <cellStyle name="Comma 6 3 2 2" xfId="409" xr:uid="{CA464DF6-CF25-4FE4-B163-5835EB98CF71}"/>
    <cellStyle name="Comma 6 3 2 2 2" xfId="598" xr:uid="{8FBC5B05-9702-4B1C-8E39-3EF0C1BFE590}"/>
    <cellStyle name="Comma 6 3 2 3" xfId="506" xr:uid="{D5222B95-31E4-49FA-B243-1C7F122C3942}"/>
    <cellStyle name="Comma 6 3 3" xfId="363" xr:uid="{ADE8B719-9C0D-4EA0-86FF-95A33BD7FEFC}"/>
    <cellStyle name="Comma 6 3 3 2" xfId="552" xr:uid="{4963A1F1-C576-4AA7-AD88-22E7856E0D44}"/>
    <cellStyle name="Comma 6 3 4" xfId="271" xr:uid="{6FC33296-B2C5-4ECB-8E98-B76D1B4976AA}"/>
    <cellStyle name="Comma 6 3 5" xfId="460" xr:uid="{0516CADC-74C8-405F-8DA2-9DAD6046D50C}"/>
    <cellStyle name="Comma 6 4" xfId="294" xr:uid="{B07A1B1D-8CCB-40F5-8817-543A206C5B09}"/>
    <cellStyle name="Comma 6 4 2" xfId="386" xr:uid="{B9AB469A-2DD1-4A4D-8639-728E045E5156}"/>
    <cellStyle name="Comma 6 4 2 2" xfId="575" xr:uid="{0330A982-ACEB-44B6-B5BE-1549B668511C}"/>
    <cellStyle name="Comma 6 4 3" xfId="483" xr:uid="{D60D3A2D-A4C4-43C9-A6BE-E04513B59F9C}"/>
    <cellStyle name="Comma 6 5" xfId="340" xr:uid="{CA05F9FD-D1E4-4A9E-87EF-8E7E239244F9}"/>
    <cellStyle name="Comma 6 5 2" xfId="529" xr:uid="{982B393C-4BF8-402B-AF26-E7B50F6149CD}"/>
    <cellStyle name="Comma 6 6" xfId="248" xr:uid="{1F8A44C3-DDBD-4EE5-A0B4-E55F4DB9EEBC}"/>
    <cellStyle name="Comma 6 7" xfId="437" xr:uid="{3D256276-29A2-4D8D-90DF-6BCB631842D7}"/>
    <cellStyle name="Comma0" xfId="84" xr:uid="{DDF0D7DF-E187-4D67-ACF4-05D012F08AAC}"/>
    <cellStyle name="Company Name" xfId="85" xr:uid="{CF06EA0D-92F7-404D-868B-8B28C4B32A26}"/>
    <cellStyle name="Currency 0.0" xfId="86" xr:uid="{3DA640D6-17B2-4293-A51A-F83DD02DEF82}"/>
    <cellStyle name="Currency 0.00" xfId="87" xr:uid="{BA354E87-C39A-4BCC-84BA-B751B8DC94DA}"/>
    <cellStyle name="Currency 0.000" xfId="88" xr:uid="{0640FCD4-3E71-484B-9C74-7E471D5DAACF}"/>
    <cellStyle name="Currency 2" xfId="89" xr:uid="{EC309C40-DF1D-4712-B306-98363CFC09E8}"/>
    <cellStyle name="Currency 2 2" xfId="90" xr:uid="{E6027C4E-4B69-4D01-876F-D0EA89FC8E62}"/>
    <cellStyle name="Currency 2 3" xfId="91" xr:uid="{0FA8384B-151F-470F-B367-3B8A8F240A0A}"/>
    <cellStyle name="Currency0" xfId="92" xr:uid="{D0A3BF9A-BDED-4130-AF6B-B37B8D07EA2E}"/>
    <cellStyle name="Dan" xfId="93" xr:uid="{00A85CE4-4A34-4EE5-AD1B-84FCD5D0B2DD}"/>
    <cellStyle name="Date" xfId="94" xr:uid="{3B55BD97-4D73-4F0B-A0F6-4B06EB39EAEB}"/>
    <cellStyle name="Entrada 2" xfId="95" xr:uid="{048A8322-26B4-4014-9851-2DE7B033100A}"/>
    <cellStyle name="Euro" xfId="96" xr:uid="{EE1F2C28-99B0-4835-B5D8-3C1D1BA462CD}"/>
    <cellStyle name="Explanatory Text 2" xfId="97" xr:uid="{C252B434-4A2D-431B-828E-F434A3716E65}"/>
    <cellStyle name="Explanatory Text 3" xfId="98" xr:uid="{C89478B4-345B-423E-B43C-A6D94F217637}"/>
    <cellStyle name="Fixed" xfId="99" xr:uid="{34CD5AD6-8EA1-43B1-A6A5-33E16F34C70A}"/>
    <cellStyle name="Good 2" xfId="100" xr:uid="{278953BA-FC39-4BF5-A342-8B0FA076636C}"/>
    <cellStyle name="Good 3" xfId="101" xr:uid="{CA7D901D-8F3F-410F-8A49-444B2361DD9B}"/>
    <cellStyle name="Heading" xfId="102" xr:uid="{EF4C93DD-29AD-4234-B4EA-F74F65EA9E96}"/>
    <cellStyle name="Heading 1 2" xfId="103" xr:uid="{6082E215-665F-4D8A-910C-5731673875F7}"/>
    <cellStyle name="Heading 1 3" xfId="104" xr:uid="{43963895-762B-4943-9CE2-DFD0C0C2DF64}"/>
    <cellStyle name="Heading 2 2" xfId="105" xr:uid="{C475ACF8-E13E-43CD-9CFE-CB929BEE4E84}"/>
    <cellStyle name="Heading 2 3" xfId="106" xr:uid="{7AC25506-C320-42B7-BEF1-9AA5492C3E6E}"/>
    <cellStyle name="Heading 3 2" xfId="107" xr:uid="{520DD10B-A277-4A68-A898-FA31F6D837AC}"/>
    <cellStyle name="Heading 3 3" xfId="108" xr:uid="{56BC7692-8B4F-4542-8A16-9F2BB378DBA4}"/>
    <cellStyle name="Heading 4 2" xfId="109" xr:uid="{04D68F66-BE7C-4F2C-9CB8-2CA977ED414F}"/>
    <cellStyle name="Heading 4 3" xfId="110" xr:uid="{3A93D76D-3E2B-4C8D-BA41-D56DFE023D0B}"/>
    <cellStyle name="Heading No Underline" xfId="111" xr:uid="{5472EB37-C2AE-44D1-9166-1103ADE271E7}"/>
    <cellStyle name="Heading With Underline" xfId="112" xr:uid="{6E80FC47-74FA-4E36-9541-B997AF78D059}"/>
    <cellStyle name="Hiperlink" xfId="627" builtinId="8"/>
    <cellStyle name="Hipervínculo" xfId="113" xr:uid="{EDF4B474-8EE4-4FF0-B3E5-C5737CFAB9C5}"/>
    <cellStyle name="Hipervínculo visitado" xfId="114" xr:uid="{FE2EB5C4-BAED-4EC4-B4AE-BD5EA9516828}"/>
    <cellStyle name="Indefinido" xfId="115" xr:uid="{DA2F5412-33CA-4ED1-9748-FD7573627F5E}"/>
    <cellStyle name="Indent" xfId="116" xr:uid="{65B01A7D-8C9F-4EFA-B5AF-1A7C024A335B}"/>
    <cellStyle name="Indent 2" xfId="211" xr:uid="{070AF761-DBDF-4320-9615-0E0A69A64253}"/>
    <cellStyle name="Indent_DFC" xfId="431" xr:uid="{61C23120-ABAC-4BBF-8E5E-949CC5055D6E}"/>
    <cellStyle name="Input 2" xfId="117" xr:uid="{EFA5ED80-3770-434B-8F46-91FD33BC322F}"/>
    <cellStyle name="Input 3" xfId="118" xr:uid="{962BA576-6E9E-4E86-B2A8-C22391174ACA}"/>
    <cellStyle name="Linked Cell 2" xfId="119" xr:uid="{0F4C1A32-D99E-4954-A3ED-F5D5A2C30579}"/>
    <cellStyle name="Linked Cell 3" xfId="120" xr:uid="{66E15C47-4B23-458F-AE32-84F74B52F392}"/>
    <cellStyle name="MainHead" xfId="121" xr:uid="{A4C1D11A-F184-4A81-8A16-268180992F1A}"/>
    <cellStyle name="Millares [0]_5-Mayo " xfId="122" xr:uid="{E4B919C8-2941-4A19-B85E-74D606713E55}"/>
    <cellStyle name="Millares_5-Mayo " xfId="123" xr:uid="{F84DD99D-7464-4171-9C78-307FC45B7AD4}"/>
    <cellStyle name="Moeda" xfId="2" builtinId="4"/>
    <cellStyle name="Moeda 2" xfId="622" xr:uid="{CC58C979-61E1-47E9-BED7-DC90D16F4AE9}"/>
    <cellStyle name="Moeda 3" xfId="626" xr:uid="{0A1ADA82-3C0D-4ACB-878E-4A7B171207E3}"/>
    <cellStyle name="Moneda [0]_5-Mayo " xfId="124" xr:uid="{55954329-94A4-477C-993F-0F5DA7CDD5BE}"/>
    <cellStyle name="Moneda_5-Mayo " xfId="125" xr:uid="{D87959C8-8E2C-44AD-9DA1-9DA3AB856580}"/>
    <cellStyle name="Neutra" xfId="126" xr:uid="{82C05D11-503A-45BC-9651-BE5280CE06CD}"/>
    <cellStyle name="Neutral 2" xfId="127" xr:uid="{8A522CF0-32D9-4FCC-BFE4-D3F35261A471}"/>
    <cellStyle name="Neutral 3" xfId="128" xr:uid="{C5E2D0F1-C116-43CD-A325-F446FA4C4883}"/>
    <cellStyle name="Normal" xfId="0" builtinId="0"/>
    <cellStyle name="Normal 10" xfId="11" xr:uid="{42F4A414-5A96-4F4E-B03F-7439D31A62B8}"/>
    <cellStyle name="Normal 11" xfId="621" xr:uid="{F1E01C07-23E9-4B9A-9BF9-C8DB0F8CB856}"/>
    <cellStyle name="Normal 2" xfId="4" xr:uid="{567FA3EF-FFAB-4B93-8DF6-BE13E6E0C812}"/>
    <cellStyle name="Normal 2 10" xfId="130" xr:uid="{770F4388-7723-4358-9007-6F173F011AEB}"/>
    <cellStyle name="Normal 2 11" xfId="620" xr:uid="{59A0B28A-700D-48AB-8FC4-B15D48C4E32A}"/>
    <cellStyle name="Normal 2 12" xfId="628" xr:uid="{B38FF588-88FC-4DAB-BE2C-84AF649222E3}"/>
    <cellStyle name="Normal 2 2" xfId="131" xr:uid="{2D707B67-325E-40BC-9920-A644721A2AE8}"/>
    <cellStyle name="Normal 2 2 2" xfId="198" xr:uid="{7C93B30B-0111-4581-A946-F3EA7AD95668}"/>
    <cellStyle name="Normal 2 3" xfId="132" xr:uid="{2BD7E2DB-DD1A-4CC1-B78A-34CDE1A72EE2}"/>
    <cellStyle name="Normal 2 4" xfId="133" xr:uid="{726C7552-129A-4655-847B-26C76D5AD5D7}"/>
    <cellStyle name="Normal 2 5" xfId="134" xr:uid="{9530DCE1-0EA8-4856-B518-99F6AFB40A3D}"/>
    <cellStyle name="Normal 2 6" xfId="135" xr:uid="{33BE8C7D-94EC-4480-A42E-596E6F1C4BF3}"/>
    <cellStyle name="Normal 2 7" xfId="136" xr:uid="{31415D77-F9D7-485C-8F6F-D7A93FAE604B}"/>
    <cellStyle name="Normal 2 8" xfId="190" xr:uid="{2F236C01-5692-438D-9151-422459616B72}"/>
    <cellStyle name="Normal 2 8 2" xfId="217" xr:uid="{23DE4F56-69FA-4979-9507-A1411EDA9D69}"/>
    <cellStyle name="Normal 2 8_DFC" xfId="432" xr:uid="{947DEC44-50F2-4E28-9A50-F34E82BC33AE}"/>
    <cellStyle name="Normal 2 9" xfId="129" xr:uid="{2E545A9D-3F1D-43DC-8474-88C6DBFE08A2}"/>
    <cellStyle name="Normal 3" xfId="137" xr:uid="{4C7F64E8-AD6D-40FD-AB39-F4795D70E339}"/>
    <cellStyle name="Normal 3 2" xfId="138" xr:uid="{554CC1D4-1DEF-46D9-99BB-D10750D3B2C7}"/>
    <cellStyle name="Normal 4" xfId="139" xr:uid="{B3C6C651-0E28-4DAB-923F-A7A7D576ECB4}"/>
    <cellStyle name="Normal 4 2" xfId="140" xr:uid="{19102C0A-A21D-4175-8756-59C0694C992F}"/>
    <cellStyle name="Normal 4 3" xfId="141" xr:uid="{300BDBAF-F993-416B-BD06-0B9B7C010B64}"/>
    <cellStyle name="Normal 5" xfId="186" xr:uid="{1C61B38A-D3BF-419D-9615-F00AB405A3E9}"/>
    <cellStyle name="Normal 5 2" xfId="215" xr:uid="{9FB78E8C-687E-466C-81C1-50F791EB9B6D}"/>
    <cellStyle name="Normal 5_DFC" xfId="433" xr:uid="{AF936EEF-E5CF-46F4-B7BE-98219BE381C9}"/>
    <cellStyle name="Normal 6" xfId="187" xr:uid="{67011288-1278-49CC-9BF1-6B47D642CD9B}"/>
    <cellStyle name="Normal 7" xfId="188" xr:uid="{F2722449-3332-415B-8433-F03E80BEF013}"/>
    <cellStyle name="Normal 7 2" xfId="192" xr:uid="{03F07B48-9075-4565-BEFF-26610034C59E}"/>
    <cellStyle name="Normal 7 2 2" xfId="194" xr:uid="{3CC9A7B1-D5D4-487F-A0B4-BF1F28D387D2}"/>
    <cellStyle name="Normal 7 2_DFC" xfId="434" xr:uid="{2E526270-9C16-4709-9D2F-5CA9E2588AAA}"/>
    <cellStyle name="Normal 8" xfId="196" xr:uid="{E29BAE14-6802-4E2C-A104-D0E69F58DFE4}"/>
    <cellStyle name="Normal 9" xfId="199" xr:uid="{D7C66080-060F-4AA8-846C-FBAAD91ADF23}"/>
    <cellStyle name="Normal 9 2" xfId="202" xr:uid="{81E026C5-CFFB-4B18-B11E-6038459F28B8}"/>
    <cellStyle name="Normal 9_DFC" xfId="435" xr:uid="{3E50B697-3488-4DD9-AEA5-8C0D6B537A4D}"/>
    <cellStyle name="Normal_SHEET 2" xfId="8" xr:uid="{3416310C-778B-40E8-AFF5-74F27EFAC8BB}"/>
    <cellStyle name="Normal_Worksheet in 2273 Relatório Dez 07 Controladora" xfId="5" xr:uid="{C07CF0BF-A67A-4EFE-B039-E28A98523463}"/>
    <cellStyle name="Normal_Worksheet in 2292 OAS Engenharia e Participações Relatórios das DF'S de 31.01.2003" xfId="9" xr:uid="{323B9BF5-55D2-41FA-B538-5CDC2ACD0E93}"/>
    <cellStyle name="Nota 2" xfId="197" xr:uid="{7CAD7D71-DD5A-4C64-BE77-311BFD3D71E6}"/>
    <cellStyle name="Nota 2 2" xfId="220" xr:uid="{11FFBDEB-072B-4347-B2EF-BCE0CD34587B}"/>
    <cellStyle name="Nota 2 2 2" xfId="243" xr:uid="{FD68A4DF-9288-4E37-9C4A-3274E4389EB7}"/>
    <cellStyle name="Nota 2 2 2 2" xfId="336" xr:uid="{6A54E6C3-176A-4276-ADAE-A86BD6606B3F}"/>
    <cellStyle name="Nota 2 2 2 2 2" xfId="428" xr:uid="{ECAF9E96-7D40-4328-9451-3759EE424D91}"/>
    <cellStyle name="Nota 2 2 2 2 2 2" xfId="617" xr:uid="{4F19EC4A-6B78-4A5C-96BB-A37B1F3C7AB4}"/>
    <cellStyle name="Nota 2 2 2 2 3" xfId="525" xr:uid="{242546A6-53AD-4F19-92BD-172575A56502}"/>
    <cellStyle name="Nota 2 2 2 3" xfId="382" xr:uid="{E8A6ECC1-13C7-4673-9F6B-CCDFECB8DEF7}"/>
    <cellStyle name="Nota 2 2 2 3 2" xfId="571" xr:uid="{BB47CDA9-5733-49C5-BA27-C351557627F1}"/>
    <cellStyle name="Nota 2 2 2 4" xfId="290" xr:uid="{9690511E-426E-46BA-BD43-FD2CE1573329}"/>
    <cellStyle name="Nota 2 2 2 5" xfId="479" xr:uid="{9BE7BE13-FB83-4BA3-84B8-5E5CD91307BC}"/>
    <cellStyle name="Nota 2 2 3" xfId="313" xr:uid="{EEC65671-F626-417E-97B6-49FB7020F07D}"/>
    <cellStyle name="Nota 2 2 3 2" xfId="405" xr:uid="{18A1E6D6-3DBD-41C8-A38F-6F750A8CE9AB}"/>
    <cellStyle name="Nota 2 2 3 2 2" xfId="594" xr:uid="{690115C6-70BE-4BA8-9684-4D4558ACDB49}"/>
    <cellStyle name="Nota 2 2 3 3" xfId="502" xr:uid="{25668B3C-9ABD-42EA-8693-1D31ACFA0D52}"/>
    <cellStyle name="Nota 2 2 4" xfId="359" xr:uid="{F1D385EB-E96D-49AF-8101-E108F4CA965C}"/>
    <cellStyle name="Nota 2 2 4 2" xfId="548" xr:uid="{22DD7810-351F-4B89-A750-C432FC1DD395}"/>
    <cellStyle name="Nota 2 2 5" xfId="267" xr:uid="{511812DA-E30E-449C-AAFA-9B78789AD373}"/>
    <cellStyle name="Nota 2 2 6" xfId="456" xr:uid="{08B868D9-EA59-4ABD-8B47-AB16A2681A44}"/>
    <cellStyle name="Nota 2 3" xfId="227" xr:uid="{5E21A59E-D42A-4AAA-B5D7-A8C05B5E7BB2}"/>
    <cellStyle name="Nota 2 3 2" xfId="320" xr:uid="{26CCF786-BAFE-4918-8D96-83AB08168CF5}"/>
    <cellStyle name="Nota 2 3 2 2" xfId="412" xr:uid="{3003B971-5959-430E-B5F3-5A814018F634}"/>
    <cellStyle name="Nota 2 3 2 2 2" xfId="601" xr:uid="{49646DBF-D313-4F97-920B-B08C63C5D478}"/>
    <cellStyle name="Nota 2 3 2 3" xfId="509" xr:uid="{E60822E3-F904-454A-9952-5CED8CDCADE8}"/>
    <cellStyle name="Nota 2 3 3" xfId="366" xr:uid="{17517318-5C25-4C7F-9141-9175FD43D4C1}"/>
    <cellStyle name="Nota 2 3 3 2" xfId="555" xr:uid="{537B895B-5788-4D38-9028-C91FBFEA7ECD}"/>
    <cellStyle name="Nota 2 3 4" xfId="274" xr:uid="{457444B5-7A7A-4F6A-BC30-B226D8BC74EA}"/>
    <cellStyle name="Nota 2 3 5" xfId="463" xr:uid="{6107B001-14D3-4E9B-99E7-6429F7D67890}"/>
    <cellStyle name="Nota 2 4" xfId="297" xr:uid="{C971077F-A4F3-4768-A990-CF22B5FF4EA0}"/>
    <cellStyle name="Nota 2 4 2" xfId="389" xr:uid="{84E39591-7888-462B-874E-DBAC6B368563}"/>
    <cellStyle name="Nota 2 4 2 2" xfId="578" xr:uid="{3DDAEC16-3B99-4F46-AB0F-DD4C03B3586B}"/>
    <cellStyle name="Nota 2 4 3" xfId="486" xr:uid="{369BAA3D-ABF8-47A1-9C01-E25D349902A2}"/>
    <cellStyle name="Nota 2 5" xfId="343" xr:uid="{869125E9-602B-4BC2-A715-C7D38A105C02}"/>
    <cellStyle name="Nota 2 5 2" xfId="532" xr:uid="{7E53493E-3E8A-43C0-B9C7-95C21F68BD5E}"/>
    <cellStyle name="Nota 2 6" xfId="251" xr:uid="{2F01C319-398B-402E-988A-D261CFA01E26}"/>
    <cellStyle name="Nota 2 7" xfId="440" xr:uid="{96568DAC-76F6-4AC7-93C9-8A4CCC201B59}"/>
    <cellStyle name="Nota 3" xfId="142" xr:uid="{1D109545-7FE8-4E08-AEE8-37EFA4841537}"/>
    <cellStyle name="Note 2" xfId="143" xr:uid="{D0DB4B2D-2387-43D6-9EAB-341C54DC98FD}"/>
    <cellStyle name="Note 3" xfId="144" xr:uid="{9FAFD055-595B-4D9B-BD59-18B921DED1D5}"/>
    <cellStyle name="Output 2" xfId="145" xr:uid="{13B637EC-3ABF-4F35-9B5A-4B5CCF8E1DE4}"/>
    <cellStyle name="Output 3" xfId="146" xr:uid="{A5F4DB06-EECA-437C-82BD-A65047026C98}"/>
    <cellStyle name="Percent %" xfId="147" xr:uid="{A2C5164E-058C-4E6A-9383-E025C823B2F1}"/>
    <cellStyle name="Percent % Long Underline" xfId="148" xr:uid="{61C3AC1D-D825-4560-8C69-663C275678A7}"/>
    <cellStyle name="Percent (0)" xfId="149" xr:uid="{F746394F-EBBE-4389-8FC0-72240BA01814}"/>
    <cellStyle name="Percent 0.0%" xfId="150" xr:uid="{4FB32541-ADC2-4483-828E-CB9B85410358}"/>
    <cellStyle name="Percent 0.0% Long Underline" xfId="151" xr:uid="{6FC5F8D9-344A-48F0-9EDC-3186ECF80FD7}"/>
    <cellStyle name="Percent 0.00%" xfId="152" xr:uid="{3F5D77DB-9F3A-4CD1-9CA0-D6DCDD095F1B}"/>
    <cellStyle name="Percent 0.00% Long Underline" xfId="153" xr:uid="{6DF678FC-EA28-453A-9CD6-D138E4F008A4}"/>
    <cellStyle name="Percent 0.000%" xfId="154" xr:uid="{9CAE2192-8380-4AAE-AE66-8B63759F1B63}"/>
    <cellStyle name="Percent 0.000% Long Underline" xfId="155" xr:uid="{02170C34-75E8-458B-BBA9-E2F344A26E24}"/>
    <cellStyle name="Percent 2" xfId="156" xr:uid="{7B9C016A-7A30-4382-886D-2BCF77B22EFC}"/>
    <cellStyle name="Percent 2 2" xfId="157" xr:uid="{872C5798-0E2B-4563-9024-D43059E0C4B5}"/>
    <cellStyle name="Percent 3" xfId="158" xr:uid="{FB516674-1449-46DA-9D87-6C57A1BBD670}"/>
    <cellStyle name="Percent 4" xfId="159" xr:uid="{FA548C83-2499-4C67-B4F2-1922904F89AE}"/>
    <cellStyle name="Porcentagem" xfId="3" builtinId="5"/>
    <cellStyle name="Porcentagem 2" xfId="160" xr:uid="{7640C1AD-AED2-480E-B21E-A2BA4A12D4B4}"/>
    <cellStyle name="Porcentagem 2 2" xfId="625" xr:uid="{55DFBCA1-F1E9-400D-952A-7A38C81E6C82}"/>
    <cellStyle name="Porcentagem 3" xfId="7" xr:uid="{B635090E-5DE4-488C-8805-875FBE65B78E}"/>
    <cellStyle name="PSChar" xfId="161" xr:uid="{D5866B7E-01E4-4FA6-84E1-45845C97D4A4}"/>
    <cellStyle name="Section name" xfId="162" xr:uid="{53FF23FB-5ED8-4DEE-985B-A17931DDB7A7}"/>
    <cellStyle name="Separador de m" xfId="163" xr:uid="{B4ECF6F3-8180-4E46-86C2-645A16AB14B1}"/>
    <cellStyle name="Separador de milhares 2" xfId="164" xr:uid="{5F6119F7-A2DC-487A-824B-4B378EF0966E}"/>
    <cellStyle name="Separador de milhares 2 2" xfId="191" xr:uid="{99418B78-B348-411A-96C1-9F13F6FB363A}"/>
    <cellStyle name="Separador de milhares 2 2 2" xfId="218" xr:uid="{D7EC9898-D654-48F6-B66E-BDEBDA97C554}"/>
    <cellStyle name="Separador de milhares 2 2 2 2" xfId="241" xr:uid="{CCDDA381-0F9C-423B-82CE-477A051458B2}"/>
    <cellStyle name="Separador de milhares 2 2 2 2 2" xfId="334" xr:uid="{132719A1-5C89-4C84-B1D9-BFD1D57E3F86}"/>
    <cellStyle name="Separador de milhares 2 2 2 2 2 2" xfId="426" xr:uid="{DF6EEB3F-25D8-43D9-B35C-2CA15FE288E3}"/>
    <cellStyle name="Separador de milhares 2 2 2 2 2 2 2" xfId="615" xr:uid="{C9EB4343-626B-407F-9368-0C96E3B183DF}"/>
    <cellStyle name="Separador de milhares 2 2 2 2 2 3" xfId="523" xr:uid="{DDCD455D-3893-48B5-B9A5-4FB3E70DE023}"/>
    <cellStyle name="Separador de milhares 2 2 2 2 3" xfId="380" xr:uid="{856B2F72-8219-4CDF-B77D-76EBF22C84F0}"/>
    <cellStyle name="Separador de milhares 2 2 2 2 3 2" xfId="569" xr:uid="{76793C92-4D9B-4AB0-B67D-B1CC71960B87}"/>
    <cellStyle name="Separador de milhares 2 2 2 2 4" xfId="288" xr:uid="{28051D7E-FBDA-4A81-B194-009F6FCB4D9C}"/>
    <cellStyle name="Separador de milhares 2 2 2 2 5" xfId="477" xr:uid="{07610E14-FD78-4506-AFF9-50E7D2261CF9}"/>
    <cellStyle name="Separador de milhares 2 2 2 3" xfId="311" xr:uid="{4F96CA21-430C-495B-89E1-B518C4CAD7C6}"/>
    <cellStyle name="Separador de milhares 2 2 2 3 2" xfId="403" xr:uid="{8808FD5E-91E6-4924-B1CC-B2AD6A49704D}"/>
    <cellStyle name="Separador de milhares 2 2 2 3 2 2" xfId="592" xr:uid="{A722493B-36BE-48F7-BFD9-E85EDAB74AC0}"/>
    <cellStyle name="Separador de milhares 2 2 2 3 3" xfId="500" xr:uid="{E92A6587-BACA-4061-A151-0FCC1CA562C2}"/>
    <cellStyle name="Separador de milhares 2 2 2 4" xfId="357" xr:uid="{EBF1B06B-2145-43B7-96CA-2DDBEA2785E4}"/>
    <cellStyle name="Separador de milhares 2 2 2 4 2" xfId="546" xr:uid="{2D0F9011-0E48-42DD-991E-9ADC79792915}"/>
    <cellStyle name="Separador de milhares 2 2 2 5" xfId="265" xr:uid="{450BF864-091D-4D3D-B4C7-F10A5886F936}"/>
    <cellStyle name="Separador de milhares 2 2 2 6" xfId="454" xr:uid="{B1627192-9A30-4F89-AAAE-A311C9B4E2A9}"/>
    <cellStyle name="Separador de milhares 2 3" xfId="212" xr:uid="{7DA4CDAE-31D6-414B-9731-18CD9A0AB323}"/>
    <cellStyle name="Separador de milhares 2 3 2" xfId="237" xr:uid="{3C2C3962-C3F6-48EB-9473-F31A158EAF54}"/>
    <cellStyle name="Separador de milhares 2 3 2 2" xfId="330" xr:uid="{3563759D-B359-4F19-9745-59B58B7E5BCE}"/>
    <cellStyle name="Separador de milhares 2 3 2 2 2" xfId="422" xr:uid="{0AC20A22-AB0E-4931-AFCE-D2CF4CA9031B}"/>
    <cellStyle name="Separador de milhares 2 3 2 2 2 2" xfId="611" xr:uid="{EA2137B6-C196-408B-A8D5-F3554F0257FF}"/>
    <cellStyle name="Separador de milhares 2 3 2 2 3" xfId="519" xr:uid="{AB862F6E-07F9-4AE8-ADD1-FF8212A12B2B}"/>
    <cellStyle name="Separador de milhares 2 3 2 3" xfId="376" xr:uid="{BB394625-E6E8-44D4-8E14-DD9204DD57CD}"/>
    <cellStyle name="Separador de milhares 2 3 2 3 2" xfId="565" xr:uid="{03ED9CD2-2B3B-489A-B7CA-0B649403ECA7}"/>
    <cellStyle name="Separador de milhares 2 3 2 4" xfId="284" xr:uid="{63CA7DD5-21F2-42C7-B6B1-7E5D33E2E8B0}"/>
    <cellStyle name="Separador de milhares 2 3 2 5" xfId="473" xr:uid="{38D007D8-D73F-4A23-82B3-AD56E799B34D}"/>
    <cellStyle name="Separador de milhares 2 3 3" xfId="307" xr:uid="{B05185D2-47BE-4C80-A923-0519C10CCC95}"/>
    <cellStyle name="Separador de milhares 2 3 3 2" xfId="399" xr:uid="{7579CD10-D94C-4264-ABEA-52E2E19083A8}"/>
    <cellStyle name="Separador de milhares 2 3 3 2 2" xfId="588" xr:uid="{E8226961-B61C-4432-A2CA-C7BC4F14F1D4}"/>
    <cellStyle name="Separador de milhares 2 3 3 3" xfId="496" xr:uid="{8E2A7385-22F8-471F-98D2-D818DE7AB0F2}"/>
    <cellStyle name="Separador de milhares 2 3 4" xfId="353" xr:uid="{17C959B6-37AC-4085-8183-87EDF55E6ED5}"/>
    <cellStyle name="Separador de milhares 2 3 4 2" xfId="542" xr:uid="{E547A7E2-E7D4-4AC5-A6ED-82D728195A8C}"/>
    <cellStyle name="Separador de milhares 2 3 5" xfId="261" xr:uid="{272F7F76-B74C-49EF-B8DE-45BF2C864239}"/>
    <cellStyle name="Separador de milhares 2 3 6" xfId="450" xr:uid="{58BC286D-2DF9-432C-B540-9CC411C8EF78}"/>
    <cellStyle name="Separador de milhares 3" xfId="165" xr:uid="{B372F555-C9D6-454A-985A-7AA7045D4214}"/>
    <cellStyle name="Separador de milhares 3 2" xfId="213" xr:uid="{429C16AD-3B2B-441A-B08E-3A9643EBC6B8}"/>
    <cellStyle name="Separador de milhares 3 2 2" xfId="238" xr:uid="{3871B64B-39E7-4069-B906-1133E14BE5C6}"/>
    <cellStyle name="Separador de milhares 3 2 2 2" xfId="331" xr:uid="{53FAF6DA-463A-4A0D-B9D5-7F2BD4815877}"/>
    <cellStyle name="Separador de milhares 3 2 2 2 2" xfId="423" xr:uid="{A2A95CD2-ECF5-49F2-A700-1921EF6F50C5}"/>
    <cellStyle name="Separador de milhares 3 2 2 2 2 2" xfId="612" xr:uid="{4C8DD9E5-D80F-48DC-A6FB-7CB78FEF92E6}"/>
    <cellStyle name="Separador de milhares 3 2 2 2 3" xfId="520" xr:uid="{3B34E2F1-CB50-49AD-A10A-9E15A0CAF539}"/>
    <cellStyle name="Separador de milhares 3 2 2 3" xfId="377" xr:uid="{D9658A03-FFF3-4BB3-B944-104BDA079CC5}"/>
    <cellStyle name="Separador de milhares 3 2 2 3 2" xfId="566" xr:uid="{17392442-F6D0-4F0C-A6C7-5D48A4F6E3AE}"/>
    <cellStyle name="Separador de milhares 3 2 2 4" xfId="285" xr:uid="{3F8214C0-610F-4B99-A785-A77FAE9CCA8A}"/>
    <cellStyle name="Separador de milhares 3 2 2 5" xfId="474" xr:uid="{911A6047-1312-4CCE-B79D-E5764858936F}"/>
    <cellStyle name="Separador de milhares 3 2 3" xfId="308" xr:uid="{6BC7A510-33EF-493C-BE65-BD8B0284D054}"/>
    <cellStyle name="Separador de milhares 3 2 3 2" xfId="400" xr:uid="{9CA4B9EE-6007-4B2A-B1E4-BD949B803F63}"/>
    <cellStyle name="Separador de milhares 3 2 3 2 2" xfId="589" xr:uid="{B53D78C6-C46A-4948-A483-C7C94D073A96}"/>
    <cellStyle name="Separador de milhares 3 2 3 3" xfId="497" xr:uid="{13FFEA48-9A4B-4EC2-B8B2-EDE32EF2D114}"/>
    <cellStyle name="Separador de milhares 3 2 4" xfId="354" xr:uid="{AEE5C0B9-C5E5-4FF1-8BC2-06D8404ECAA2}"/>
    <cellStyle name="Separador de milhares 3 2 4 2" xfId="543" xr:uid="{783C0A58-57A8-4F42-BE53-02503F9B0788}"/>
    <cellStyle name="Separador de milhares 3 2 5" xfId="262" xr:uid="{761E36BD-3CFA-40F0-98E8-AE41D45C042D}"/>
    <cellStyle name="Separador de milhares 3 2 6" xfId="451" xr:uid="{97E92F26-75D6-4048-A9BC-30E7364826D4}"/>
    <cellStyle name="Separador de milhares 4" xfId="189" xr:uid="{DD4F5CA2-38A6-4FFE-ABAB-A9F869C2397D}"/>
    <cellStyle name="Separador de milhares 4 2" xfId="216" xr:uid="{D0555AAD-C570-4E82-9A9C-668856E6854F}"/>
    <cellStyle name="Separador de milhares 4 2 2" xfId="240" xr:uid="{11A16C95-B034-468F-B1B7-7C3BD9C4C07A}"/>
    <cellStyle name="Separador de milhares 4 2 2 2" xfId="333" xr:uid="{67273D5D-082F-48DB-B415-D374F1F0105A}"/>
    <cellStyle name="Separador de milhares 4 2 2 2 2" xfId="425" xr:uid="{655C7A48-6E7B-43A6-BB44-B3422E2002CD}"/>
    <cellStyle name="Separador de milhares 4 2 2 2 2 2" xfId="614" xr:uid="{59E56360-D187-4876-A4CD-DB85C5FFA5FB}"/>
    <cellStyle name="Separador de milhares 4 2 2 2 3" xfId="522" xr:uid="{54972DE3-B4BA-4F8B-B593-C59D637281C5}"/>
    <cellStyle name="Separador de milhares 4 2 2 3" xfId="379" xr:uid="{21DBDA7B-DDB8-4486-A73B-6622F2E354CE}"/>
    <cellStyle name="Separador de milhares 4 2 2 3 2" xfId="568" xr:uid="{35AA65DC-B418-443F-B135-12E14BAE4A87}"/>
    <cellStyle name="Separador de milhares 4 2 2 4" xfId="287" xr:uid="{5EFC5DF0-F7EA-42D1-8A48-546FB4EC343C}"/>
    <cellStyle name="Separador de milhares 4 2 2 5" xfId="476" xr:uid="{B2117502-89FF-4FB8-B696-3A860CB133A9}"/>
    <cellStyle name="Separador de milhares 4 2 3" xfId="310" xr:uid="{95BD87DA-3EA1-4BBB-A34F-C404447E08B0}"/>
    <cellStyle name="Separador de milhares 4 2 3 2" xfId="402" xr:uid="{FB3A75A2-489A-4BF2-9556-2A53D71FB78B}"/>
    <cellStyle name="Separador de milhares 4 2 3 2 2" xfId="591" xr:uid="{33B02924-CBA1-4362-B923-A6E424AA3438}"/>
    <cellStyle name="Separador de milhares 4 2 3 3" xfId="499" xr:uid="{A001C433-5A20-4711-B4EC-49647527FA52}"/>
    <cellStyle name="Separador de milhares 4 2 4" xfId="356" xr:uid="{77184203-31CB-43A4-A51D-18937857D532}"/>
    <cellStyle name="Separador de milhares 4 2 4 2" xfId="545" xr:uid="{8BCD5872-4570-4E19-82C5-16D4531CC01E}"/>
    <cellStyle name="Separador de milhares 4 2 5" xfId="264" xr:uid="{6A1BCE56-75AB-4221-BD66-3D7A226D4DBB}"/>
    <cellStyle name="Separador de milhares 4 2 6" xfId="453" xr:uid="{5C19C96B-64EC-4C37-8AFE-F111A590D720}"/>
    <cellStyle name="Separador de milhares 5" xfId="193" xr:uid="{D865F7AC-538D-4605-A4BD-EE2C3230C5AF}"/>
    <cellStyle name="Separador de milhares 6" xfId="195" xr:uid="{30F3B70D-73E9-448D-83E8-AB92EF28AA18}"/>
    <cellStyle name="Separador de milhares 6 2" xfId="219" xr:uid="{28A4790F-32B8-4F76-A2F6-CECDA69C2269}"/>
    <cellStyle name="Separador de milhares 6 2 2" xfId="242" xr:uid="{E084EE6C-FB29-4DBD-B8B5-1BEF8CCB857C}"/>
    <cellStyle name="Separador de milhares 6 2 2 2" xfId="335" xr:uid="{996D2146-A301-4938-AF3A-AA95CD9B356F}"/>
    <cellStyle name="Separador de milhares 6 2 2 2 2" xfId="427" xr:uid="{6E2325E0-95DD-4703-990A-A6834267CD4D}"/>
    <cellStyle name="Separador de milhares 6 2 2 2 2 2" xfId="616" xr:uid="{5C177C25-6587-4C3F-9E5A-2C2319097419}"/>
    <cellStyle name="Separador de milhares 6 2 2 2 3" xfId="524" xr:uid="{787923B7-803B-4751-9F05-A4F03239E8E2}"/>
    <cellStyle name="Separador de milhares 6 2 2 3" xfId="381" xr:uid="{509C7B2F-8F2A-4822-B8AD-A7EB900DDE09}"/>
    <cellStyle name="Separador de milhares 6 2 2 3 2" xfId="570" xr:uid="{E232AD5B-4C31-47E8-805B-EAA0793831B9}"/>
    <cellStyle name="Separador de milhares 6 2 2 4" xfId="289" xr:uid="{CCC2200A-426D-4AF3-8F8D-132108C3D0B0}"/>
    <cellStyle name="Separador de milhares 6 2 2 5" xfId="478" xr:uid="{DBD9D044-E6C2-4CF3-B700-049C84183662}"/>
    <cellStyle name="Separador de milhares 6 2 3" xfId="312" xr:uid="{E4664413-7E87-4F28-80BE-12B197DDE9DD}"/>
    <cellStyle name="Separador de milhares 6 2 3 2" xfId="404" xr:uid="{9AA0D0A5-33DD-4E42-9A3B-2A031F26D227}"/>
    <cellStyle name="Separador de milhares 6 2 3 2 2" xfId="593" xr:uid="{328AB539-FEFD-493E-A7FE-D675B3641C22}"/>
    <cellStyle name="Separador de milhares 6 2 3 3" xfId="501" xr:uid="{B2717F67-D634-422B-9149-3B8B6ABF3C34}"/>
    <cellStyle name="Separador de milhares 6 2 4" xfId="358" xr:uid="{5BAA649A-77F4-4556-8FFE-4C7B627605C3}"/>
    <cellStyle name="Separador de milhares 6 2 4 2" xfId="547" xr:uid="{B83FDD2E-A39F-418E-9841-BCEFD5952206}"/>
    <cellStyle name="Separador de milhares 6 2 5" xfId="266" xr:uid="{6D8073E9-2BE8-457B-B821-1310C2AD9DA9}"/>
    <cellStyle name="Separador de milhares 6 2 6" xfId="455" xr:uid="{90A28451-BD24-495C-8539-41F2F0160ADC}"/>
    <cellStyle name="Separador de milhares 6 3" xfId="226" xr:uid="{F5983ABD-3144-45E9-8268-1251E6F8B9D9}"/>
    <cellStyle name="Separador de milhares 6 3 2" xfId="319" xr:uid="{4D50AEBC-3868-47FD-AF53-811616BF7D64}"/>
    <cellStyle name="Separador de milhares 6 3 2 2" xfId="411" xr:uid="{C7C23461-BD78-44D3-B824-0165A76057D7}"/>
    <cellStyle name="Separador de milhares 6 3 2 2 2" xfId="600" xr:uid="{0D77FBE4-754E-4707-B3AD-FD537B68239D}"/>
    <cellStyle name="Separador de milhares 6 3 2 3" xfId="508" xr:uid="{7494A5A3-2689-4146-9D46-C9CC9B8566DE}"/>
    <cellStyle name="Separador de milhares 6 3 3" xfId="365" xr:uid="{40EDF9E9-9962-4B1E-89DF-E5205409D0A4}"/>
    <cellStyle name="Separador de milhares 6 3 3 2" xfId="554" xr:uid="{A72143A6-9E7A-4D2F-8ECF-414ADC62DBCB}"/>
    <cellStyle name="Separador de milhares 6 3 4" xfId="273" xr:uid="{E3BBB841-5D22-459C-9C5E-E1D969E16390}"/>
    <cellStyle name="Separador de milhares 6 3 5" xfId="462" xr:uid="{A4D28880-BBFA-43F6-8A46-EAEF65A456E2}"/>
    <cellStyle name="Separador de milhares 6 4" xfId="296" xr:uid="{A0A42F0A-791B-45DC-845D-6160C6385253}"/>
    <cellStyle name="Separador de milhares 6 4 2" xfId="388" xr:uid="{7DBEEB48-264E-422D-9E6A-186EB7400E57}"/>
    <cellStyle name="Separador de milhares 6 4 2 2" xfId="577" xr:uid="{45FBE5B4-9D94-4F5A-B548-9E67F2942999}"/>
    <cellStyle name="Separador de milhares 6 4 3" xfId="485" xr:uid="{D0A82454-0D6F-4800-B5C9-D7587BC2CF41}"/>
    <cellStyle name="Separador de milhares 6 5" xfId="342" xr:uid="{DE96DF41-B79C-45BC-B88E-17BA0D4025C8}"/>
    <cellStyle name="Separador de milhares 6 5 2" xfId="531" xr:uid="{8AA6E7F8-FC77-4BCB-80D7-E9D605C64430}"/>
    <cellStyle name="Separador de milhares 6 6" xfId="250" xr:uid="{FC15CB0E-B9AF-4BE9-B5BD-72CC216A7E71}"/>
    <cellStyle name="Separador de milhares 6 7" xfId="439" xr:uid="{84685B47-F1B6-4C0B-8D3D-148A6C891F1F}"/>
    <cellStyle name="Separador de milhares 7" xfId="201" xr:uid="{9871A569-5337-41F1-929A-3658542FEBB9}"/>
    <cellStyle name="Separador de milhares 7 2" xfId="222" xr:uid="{E890E00B-DDAE-4E08-A4D5-9F856C0A8FCE}"/>
    <cellStyle name="Separador de milhares 7 2 2" xfId="245" xr:uid="{93105385-121B-400B-90FD-918F5B0DAD71}"/>
    <cellStyle name="Separador de milhares 7 2 2 2" xfId="338" xr:uid="{D1D7BB85-EF6D-4809-8B2F-F2320E53E44D}"/>
    <cellStyle name="Separador de milhares 7 2 2 2 2" xfId="430" xr:uid="{D25DA486-0C4A-4569-A01E-9ABE626A3298}"/>
    <cellStyle name="Separador de milhares 7 2 2 2 2 2" xfId="619" xr:uid="{0792ECE8-7DBD-4576-9331-FFF2E56966DD}"/>
    <cellStyle name="Separador de milhares 7 2 2 2 3" xfId="527" xr:uid="{A40B2417-8EE2-474A-9D1C-EC42875D95EB}"/>
    <cellStyle name="Separador de milhares 7 2 2 3" xfId="384" xr:uid="{0F5259BC-F890-4ABC-813F-6C399B40CB27}"/>
    <cellStyle name="Separador de milhares 7 2 2 3 2" xfId="573" xr:uid="{AA2441C0-CB39-4F81-9E56-3516808CC1E5}"/>
    <cellStyle name="Separador de milhares 7 2 2 4" xfId="292" xr:uid="{02E06414-1060-453D-A71D-A4DACE771A2A}"/>
    <cellStyle name="Separador de milhares 7 2 2 5" xfId="481" xr:uid="{DA2AF020-F6B4-40DB-B58B-218F9A4E6439}"/>
    <cellStyle name="Separador de milhares 7 2 3" xfId="315" xr:uid="{0D84FFB1-18EC-4EEE-961B-F5F19E354B7B}"/>
    <cellStyle name="Separador de milhares 7 2 3 2" xfId="407" xr:uid="{D91F6218-0EED-43D8-AEA7-EE6A29A54F0F}"/>
    <cellStyle name="Separador de milhares 7 2 3 2 2" xfId="596" xr:uid="{B1082280-53A6-4230-80EF-DB94F5306EE6}"/>
    <cellStyle name="Separador de milhares 7 2 3 3" xfId="504" xr:uid="{3AC1243D-7A64-49C7-8D23-372984E66AC9}"/>
    <cellStyle name="Separador de milhares 7 2 4" xfId="361" xr:uid="{2379227B-A015-4C1F-ACE5-ABF65E9D05B2}"/>
    <cellStyle name="Separador de milhares 7 2 4 2" xfId="550" xr:uid="{D41656F2-A81D-41DE-80E6-B603D7DF91A4}"/>
    <cellStyle name="Separador de milhares 7 2 5" xfId="269" xr:uid="{6A2B9EAB-03B7-4931-A415-5795F722EB5E}"/>
    <cellStyle name="Separador de milhares 7 2 6" xfId="458" xr:uid="{F7579CD1-2567-4FF8-89BC-9C90FB8A0F45}"/>
    <cellStyle name="Separador de milhares 7 3" xfId="228" xr:uid="{C16A8FAF-CFCE-42F3-A8DE-B644F58C60BE}"/>
    <cellStyle name="Separador de milhares 7 3 2" xfId="321" xr:uid="{08F67290-7CA1-4E1C-8492-1C1449CF4F6A}"/>
    <cellStyle name="Separador de milhares 7 3 2 2" xfId="413" xr:uid="{B6873D38-6610-4031-91B0-F664EC9E0403}"/>
    <cellStyle name="Separador de milhares 7 3 2 2 2" xfId="602" xr:uid="{5F56B960-57D1-4FD4-8512-60B5BC573C54}"/>
    <cellStyle name="Separador de milhares 7 3 2 3" xfId="510" xr:uid="{1B63F22B-ADD2-4A89-8235-F115D35BED3E}"/>
    <cellStyle name="Separador de milhares 7 3 3" xfId="367" xr:uid="{262A4940-0371-44A6-A6FF-65F249D305AC}"/>
    <cellStyle name="Separador de milhares 7 3 3 2" xfId="556" xr:uid="{1CFF97DD-FEE4-4410-8F49-6DF8FF3D93A8}"/>
    <cellStyle name="Separador de milhares 7 3 4" xfId="275" xr:uid="{994BE01B-096D-45F4-A793-2F0E97AF99A9}"/>
    <cellStyle name="Separador de milhares 7 3 5" xfId="464" xr:uid="{5C52189F-BA7B-4C10-8417-7EE8EE7F235E}"/>
    <cellStyle name="Separador de milhares 7 4" xfId="298" xr:uid="{FB0492B0-C9CF-4C65-A8B8-7B990FBA8267}"/>
    <cellStyle name="Separador de milhares 7 4 2" xfId="390" xr:uid="{04760907-4077-4DEC-B065-37090925C227}"/>
    <cellStyle name="Separador de milhares 7 4 2 2" xfId="579" xr:uid="{FB9204A7-6E61-4B07-AADB-3AB65279C0C5}"/>
    <cellStyle name="Separador de milhares 7 4 3" xfId="487" xr:uid="{9B0452EE-310B-4560-927F-0D1C2EB1A5B6}"/>
    <cellStyle name="Separador de milhares 7 5" xfId="344" xr:uid="{8C8930F3-92C1-4600-AA18-E7309920566D}"/>
    <cellStyle name="Separador de milhares 7 5 2" xfId="533" xr:uid="{D9146198-8032-49DB-8C79-05851F4690CA}"/>
    <cellStyle name="Separador de milhares 7 6" xfId="252" xr:uid="{4EB55757-986E-4039-9B07-413F3D79FFE6}"/>
    <cellStyle name="Separador de milhares 7 7" xfId="441" xr:uid="{3BEADE49-2F78-41D0-B4BE-3A7AA81025AB}"/>
    <cellStyle name="SubHead" xfId="166" xr:uid="{F7418BA0-11EC-489D-A9FA-0C89C60942A1}"/>
    <cellStyle name="SubHeading" xfId="167" xr:uid="{794A905A-7E05-4E8D-A4FD-B6E529099282}"/>
    <cellStyle name="Texto de Aviso 2" xfId="168" xr:uid="{F104BC28-F711-4BC8-8C1B-4A97F6B6BF01}"/>
    <cellStyle name="Tickmark" xfId="169" xr:uid="{4DCC4371-E8B9-4997-BA1F-16235600187C}"/>
    <cellStyle name="Title 2" xfId="170" xr:uid="{D6D586B2-D3C8-4D24-8321-7E4516F03B49}"/>
    <cellStyle name="Title 3" xfId="171" xr:uid="{02AFC436-B78C-4527-93FB-58E764C85DDD}"/>
    <cellStyle name="Titulo1" xfId="172" xr:uid="{07DE4B36-F243-43F3-8B6D-52545BBF042F}"/>
    <cellStyle name="Total 2" xfId="173" xr:uid="{D6818BCE-6D1B-49C8-999F-654B10C9FB28}"/>
    <cellStyle name="Total 3" xfId="174" xr:uid="{D010B2B4-4063-4C1B-83F4-45AFE3E2DB0A}"/>
    <cellStyle name="Um usuário do Microsoft Office satisfeito" xfId="175" xr:uid="{0D158E88-8446-457A-BC47-4EA7F7553DB1}"/>
    <cellStyle name="Um usuário do Microsoft Office satisfeito 2" xfId="214" xr:uid="{41ED28EC-C133-458F-A22E-1279BF301F98}"/>
    <cellStyle name="Um usuário do Microsoft Office satisfeito 2 2" xfId="239" xr:uid="{05E65C1D-1089-409E-910D-53A0C2FFB4E7}"/>
    <cellStyle name="Um usuário do Microsoft Office satisfeito 2 2 2" xfId="332" xr:uid="{2BD9DCD1-445F-4E5C-8D52-EAF70DF633D7}"/>
    <cellStyle name="Um usuário do Microsoft Office satisfeito 2 2 2 2" xfId="424" xr:uid="{88FF06C3-462A-4D57-BFE4-C2AFD8122991}"/>
    <cellStyle name="Um usuário do Microsoft Office satisfeito 2 2 2 2 2" xfId="613" xr:uid="{F6B6F14A-E506-4712-8E31-FA7250D76434}"/>
    <cellStyle name="Um usuário do Microsoft Office satisfeito 2 2 2 3" xfId="521" xr:uid="{18A7ACAF-27ED-468E-A761-4AA8B239AFBC}"/>
    <cellStyle name="Um usuário do Microsoft Office satisfeito 2 2 3" xfId="378" xr:uid="{854FA0AB-B4EB-457D-962D-B94D5820615B}"/>
    <cellStyle name="Um usuário do Microsoft Office satisfeito 2 2 3 2" xfId="567" xr:uid="{96E32378-FA86-49FD-8855-C066DF6CA4DB}"/>
    <cellStyle name="Um usuário do Microsoft Office satisfeito 2 2 4" xfId="286" xr:uid="{EFC9AF00-2F80-4A1B-B430-E4F2306B5D14}"/>
    <cellStyle name="Um usuário do Microsoft Office satisfeito 2 2 5" xfId="475" xr:uid="{7610EE23-7C4F-4D3E-890F-7EFF428261EC}"/>
    <cellStyle name="Um usuário do Microsoft Office satisfeito 2 3" xfId="309" xr:uid="{767595F0-DA50-4CED-A287-F7EC36D61735}"/>
    <cellStyle name="Um usuário do Microsoft Office satisfeito 2 3 2" xfId="401" xr:uid="{30558858-984C-4AE5-B8A0-5D4DC29F5F27}"/>
    <cellStyle name="Um usuário do Microsoft Office satisfeito 2 3 2 2" xfId="590" xr:uid="{42A637EB-B0BD-49EB-BC33-2CBFEBE0E230}"/>
    <cellStyle name="Um usuário do Microsoft Office satisfeito 2 3 3" xfId="498" xr:uid="{5E3F9AFE-22C2-44D2-BF67-E86AEF4E6D5C}"/>
    <cellStyle name="Um usuário do Microsoft Office satisfeito 2 4" xfId="355" xr:uid="{70E2A709-40A8-4FC7-BEF9-C40D90EEB7BD}"/>
    <cellStyle name="Um usuário do Microsoft Office satisfeito 2 4 2" xfId="544" xr:uid="{D5E133CE-6461-4F1B-BA6F-153C8481436F}"/>
    <cellStyle name="Um usuário do Microsoft Office satisfeito 2 5" xfId="263" xr:uid="{F3A6DB34-6EA7-484D-8F08-E6F1CA3611AE}"/>
    <cellStyle name="Um usuário do Microsoft Office satisfeito 2 6" xfId="452" xr:uid="{8BE18199-E0C2-4215-BAA4-56833444286D}"/>
    <cellStyle name="Um usuário do Microsoft Office satisfeito 3" xfId="225" xr:uid="{95C3CE93-A6B5-4135-8173-4C97AEE12EC8}"/>
    <cellStyle name="Um usuário do Microsoft Office satisfeito 3 2" xfId="318" xr:uid="{65416C61-9E8D-4170-8B33-F8939452665D}"/>
    <cellStyle name="Um usuário do Microsoft Office satisfeito 3 2 2" xfId="410" xr:uid="{D334C31F-A684-4E3B-932E-20E4FDA95C75}"/>
    <cellStyle name="Um usuário do Microsoft Office satisfeito 3 2 2 2" xfId="599" xr:uid="{E4C97743-F2FA-4DDA-AB89-C2D2A27FA581}"/>
    <cellStyle name="Um usuário do Microsoft Office satisfeito 3 2 3" xfId="507" xr:uid="{C1DFAD98-75EA-4048-8520-CA5F6CD0108E}"/>
    <cellStyle name="Um usuário do Microsoft Office satisfeito 3 3" xfId="364" xr:uid="{0FCA8A73-32AE-41D9-8B13-29F0B795FE11}"/>
    <cellStyle name="Um usuário do Microsoft Office satisfeito 3 3 2" xfId="553" xr:uid="{542BE1B9-2698-41F7-A266-CFF28A11ACEF}"/>
    <cellStyle name="Um usuário do Microsoft Office satisfeito 3 4" xfId="272" xr:uid="{76043307-1459-4BD2-9614-E5CEFB1A132E}"/>
    <cellStyle name="Um usuário do Microsoft Office satisfeito 3 5" xfId="461" xr:uid="{64AA89BD-D9B0-4653-AF2D-BEAC738C84BB}"/>
    <cellStyle name="Um usuário do Microsoft Office satisfeito 4" xfId="295" xr:uid="{BB55976A-D368-44F1-86E4-F5794420BDAC}"/>
    <cellStyle name="Um usuário do Microsoft Office satisfeito 4 2" xfId="387" xr:uid="{9BEF6C87-9113-4E94-B63E-17457C72D98D}"/>
    <cellStyle name="Um usuário do Microsoft Office satisfeito 4 2 2" xfId="576" xr:uid="{70CBD90F-A1E3-4DA3-87C4-7A8E8D0745C1}"/>
    <cellStyle name="Um usuário do Microsoft Office satisfeito 4 3" xfId="484" xr:uid="{C57FE678-D558-43D1-B6D5-4E7B24990BBE}"/>
    <cellStyle name="Um usuário do Microsoft Office satisfeito 5" xfId="341" xr:uid="{D09D8497-3658-4E8F-9483-F35E4BA768FF}"/>
    <cellStyle name="Um usuário do Microsoft Office satisfeito 5 2" xfId="530" xr:uid="{88A91EC9-23CD-4D35-B1CB-A796748019D0}"/>
    <cellStyle name="Um usuário do Microsoft Office satisfeito 6" xfId="249" xr:uid="{9EF7DBF0-C40B-47CE-ADC2-983F418D12EA}"/>
    <cellStyle name="Um usuário do Microsoft Office satisfeito 7" xfId="438" xr:uid="{E558D6FB-EE17-487A-8FED-6B5EC66E21EE}"/>
    <cellStyle name="Vírgula" xfId="1" builtinId="3"/>
    <cellStyle name="Vírgula 2" xfId="6" xr:uid="{DEB36D6E-9EA2-4A6F-A371-AD1F98E20BF6}"/>
    <cellStyle name="Vírgula 21" xfId="246" xr:uid="{3B4A52AA-64CE-4A3D-8C17-3BC10B739293}"/>
    <cellStyle name="Vírgula 3" xfId="624" xr:uid="{4BA2980B-414A-4FD8-AD0F-EF5D09F0775A}"/>
    <cellStyle name="Vírgula 4" xfId="623" xr:uid="{8C91151F-855D-4A48-BFED-609FC18780A7}"/>
    <cellStyle name="Warning Text 2" xfId="176" xr:uid="{53204901-2A40-45C9-8203-669FD2D30A4A}"/>
    <cellStyle name="Warning Text 3" xfId="177" xr:uid="{B3240492-779C-416A-9F7D-2628F9223362}"/>
    <cellStyle name="XComma" xfId="178" xr:uid="{B59AC56F-A5E5-4C0F-B973-A8B8D256D8B2}"/>
    <cellStyle name="XComma 0.0" xfId="179" xr:uid="{B8B348BC-5B18-41AF-A0A2-CEE3CB64D57D}"/>
    <cellStyle name="XComma 0.00" xfId="180" xr:uid="{69C530A3-DE85-4F75-952F-565D03246793}"/>
    <cellStyle name="XComma 0.000" xfId="181" xr:uid="{944C3990-4180-4767-90CA-EFF0948941F1}"/>
    <cellStyle name="XCurrency" xfId="182" xr:uid="{1EB15859-DE9D-4B6C-8656-CED1BB2192C1}"/>
    <cellStyle name="XCurrency 0.0" xfId="183" xr:uid="{09E04198-A9A5-4858-9A4B-D45C7BACB512}"/>
    <cellStyle name="XCurrency 0.00" xfId="184" xr:uid="{5DFAEBBF-F5B6-4513-A37C-FF42DB53C9E4}"/>
    <cellStyle name="XCurrency 0.000" xfId="185" xr:uid="{17EF9B18-B83E-4C64-86F8-26A0A41867B8}"/>
  </cellStyles>
  <dxfs count="0"/>
  <tableStyles count="0" defaultTableStyle="TableStyleMedium2" defaultPivotStyle="PivotStyleLight16"/>
  <colors>
    <mruColors>
      <color rgb="FF00943B"/>
      <color rgb="FFFCEB14"/>
      <color rgb="FFF8E708"/>
      <color rgb="FFF7FC18"/>
      <color rgb="FFF9FD5D"/>
      <color rgb="FFFFCC00"/>
      <color rgb="FFBF9000"/>
      <color rgb="FFD1A915"/>
      <color rgb="FF98C69A"/>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2.7192855675324066E-2"/>
          <c:y val="2.6147937740724717E-2"/>
          <c:w val="0.94561431203953916"/>
          <c:h val="0.7371696736266945"/>
        </c:manualLayout>
      </c:layout>
      <c:barChart>
        <c:barDir val="col"/>
        <c:grouping val="stacked"/>
        <c:varyColors val="0"/>
        <c:ser>
          <c:idx val="0"/>
          <c:order val="0"/>
          <c:tx>
            <c:v>Perfuração</c:v>
          </c:tx>
          <c:spPr>
            <a:solidFill>
              <a:schemeClr val="accent6">
                <a:lumMod val="75000"/>
              </a:schemeClr>
            </a:solidFill>
            <a:ln>
              <a:noFill/>
            </a:ln>
            <a:effectLst/>
          </c:spPr>
          <c:invertIfNegative val="0"/>
          <c:dLbls>
            <c:dLbl>
              <c:idx val="0"/>
              <c:layout>
                <c:manualLayout>
                  <c:x val="0"/>
                  <c:y val="7.789294075291050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EE8-4C48-B4ED-46D5E7B4424C}"/>
                </c:ext>
              </c:extLst>
            </c:dLbl>
            <c:dLbl>
              <c:idx val="2"/>
              <c:layout>
                <c:manualLayout>
                  <c:x val="0"/>
                  <c:y val="3.894647037645454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EE8-4C48-B4ED-46D5E7B4424C}"/>
                </c:ext>
              </c:extLst>
            </c:dLbl>
            <c:dLbl>
              <c:idx val="6"/>
              <c:layout>
                <c:manualLayout>
                  <c:x val="4.0450018275749629E-3"/>
                  <c:y val="3.9645666852505734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5EE8-4C48-B4ED-46D5E7B4424C}"/>
                </c:ext>
              </c:extLst>
            </c:dLbl>
            <c:dLbl>
              <c:idx val="8"/>
              <c:layout>
                <c:manualLayout>
                  <c:x val="0"/>
                  <c:y val="3.8946470376455969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EE8-4C48-B4ED-46D5E7B4424C}"/>
                </c:ext>
              </c:extLst>
            </c:dLbl>
            <c:dLbl>
              <c:idx val="10"/>
              <c:layout>
                <c:manualLayout>
                  <c:x val="-7.4316495268056414E-7"/>
                  <c:y val="9.2160738887545959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5EE8-4C48-B4ED-46D5E7B4424C}"/>
                </c:ext>
              </c:extLst>
            </c:dLbl>
            <c:spPr>
              <a:solidFill>
                <a:schemeClr val="accent6">
                  <a:lumMod val="75000"/>
                </a:schemeClr>
              </a:solidFill>
              <a:ln>
                <a:noFill/>
              </a:ln>
              <a:effectLst/>
            </c:spPr>
            <c:txPr>
              <a:bodyPr rot="0" spcFirstLastPara="1" vertOverflow="ellipsis" vert="horz" wrap="square" anchor="ctr" anchorCtr="1"/>
              <a:lstStyle/>
              <a:p>
                <a:pPr>
                  <a:defRPr sz="1200" b="0" i="0" u="none" strike="noStrike" kern="1200" baseline="0">
                    <a:solidFill>
                      <a:schemeClr val="bg1"/>
                    </a:solidFill>
                    <a:latin typeface="Quatro" panose="020B0503000000020004" pitchFamily="34" charset="0"/>
                    <a:ea typeface="+mn-ea"/>
                    <a:cs typeface="+mn-cs"/>
                  </a:defRPr>
                </a:pPr>
                <a:endParaRPr lang="pt-B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1"/>
              <c:pt idx="0">
                <c:v>1T25</c:v>
              </c:pt>
              <c:pt idx="2">
                <c:v>2T25</c:v>
              </c:pt>
              <c:pt idx="4">
                <c:v>3T25</c:v>
              </c:pt>
              <c:pt idx="6">
                <c:v>4T25</c:v>
              </c:pt>
              <c:pt idx="8">
                <c:v>1T26</c:v>
              </c:pt>
              <c:pt idx="10">
                <c:v>2T26</c:v>
              </c:pt>
            </c:strLit>
          </c:cat>
          <c:val>
            <c:numLit>
              <c:formatCode>General</c:formatCode>
              <c:ptCount val="11"/>
              <c:pt idx="0" formatCode="_(* #,##0_);_(* \(#,##0\);_(* &quot;-&quot;_);_(@_)">
                <c:v>93</c:v>
              </c:pt>
              <c:pt idx="2" formatCode="_(* #,##0_);_(* \(#,##0\);_(* &quot;-&quot;_);_(@_)">
                <c:v>111</c:v>
              </c:pt>
              <c:pt idx="4" formatCode="_(* #,##0_);_(* \(#,##0\);_(* &quot;-&quot;_);_(@_)">
                <c:v>67.290417140000017</c:v>
              </c:pt>
              <c:pt idx="6" formatCode="_(* #,##0_);_(* \(#,##0\);_(* &quot;-&quot;_);_(@_)">
                <c:v>41</c:v>
              </c:pt>
              <c:pt idx="8" formatCode="_(* #,##0_);_(* \(#,##0\);_(* &quot;-&quot;_);_(@_)">
                <c:v>26</c:v>
              </c:pt>
              <c:pt idx="10" formatCode="_(* #,##0_);_(* \(#,##0\);_(* &quot;-&quot;_);_(@_)">
                <c:v>21</c:v>
              </c:pt>
            </c:numLit>
          </c:val>
          <c:extLst>
            <c:ext xmlns:c16="http://schemas.microsoft.com/office/drawing/2014/chart" uri="{C3380CC4-5D6E-409C-BE32-E72D297353CC}">
              <c16:uniqueId val="{00000005-5EE8-4C48-B4ED-46D5E7B4424C}"/>
            </c:ext>
          </c:extLst>
        </c:ser>
        <c:ser>
          <c:idx val="1"/>
          <c:order val="1"/>
          <c:tx>
            <c:v>Workovers</c:v>
          </c:tx>
          <c:spPr>
            <a:solidFill>
              <a:srgbClr val="70AD47"/>
            </a:solidFill>
            <a:ln>
              <a:noFill/>
            </a:ln>
            <a:effectLst/>
          </c:spPr>
          <c:invertIfNegative val="0"/>
          <c:dLbls>
            <c:dLbl>
              <c:idx val="6"/>
              <c:layout>
                <c:manualLayout>
                  <c:x val="2.1829399654600444E-3"/>
                  <c:y val="-1.192037992128519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5EE8-4C48-B4ED-46D5E7B4424C}"/>
                </c:ext>
              </c:extLst>
            </c:dLbl>
            <c:dLbl>
              <c:idx val="8"/>
              <c:layout>
                <c:manualLayout>
                  <c:x val="0"/>
                  <c:y val="-7.7892940752911938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5EE8-4C48-B4ED-46D5E7B4424C}"/>
                </c:ext>
              </c:extLst>
            </c:dLbl>
            <c:dLbl>
              <c:idx val="10"/>
              <c:layout>
                <c:manualLayout>
                  <c:x val="0"/>
                  <c:y val="2.8708316093513726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5EE8-4C48-B4ED-46D5E7B4424C}"/>
                </c:ext>
              </c:extLst>
            </c:dLbl>
            <c:spPr>
              <a:solidFill>
                <a:schemeClr val="accent6"/>
              </a:solidFill>
              <a:ln>
                <a:noFill/>
              </a:ln>
              <a:effectLst/>
            </c:spPr>
            <c:txPr>
              <a:bodyPr rot="0" spcFirstLastPara="1" vertOverflow="ellipsis" vert="horz" wrap="square" anchor="ctr" anchorCtr="1"/>
              <a:lstStyle/>
              <a:p>
                <a:pPr>
                  <a:defRPr sz="1200" b="0" i="0" u="none" strike="noStrike" kern="1200" baseline="0">
                    <a:solidFill>
                      <a:schemeClr val="bg1"/>
                    </a:solidFill>
                    <a:latin typeface="Quatro" panose="020B0503000000020004" pitchFamily="34" charset="0"/>
                    <a:ea typeface="+mn-ea"/>
                    <a:cs typeface="+mn-cs"/>
                  </a:defRPr>
                </a:pPr>
                <a:endParaRPr lang="pt-B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1"/>
              <c:pt idx="0">
                <c:v>1T25</c:v>
              </c:pt>
              <c:pt idx="2">
                <c:v>2T25</c:v>
              </c:pt>
              <c:pt idx="4">
                <c:v>3T25</c:v>
              </c:pt>
              <c:pt idx="6">
                <c:v>4T25</c:v>
              </c:pt>
              <c:pt idx="8">
                <c:v>1T26</c:v>
              </c:pt>
              <c:pt idx="10">
                <c:v>2T26</c:v>
              </c:pt>
            </c:strLit>
          </c:cat>
          <c:val>
            <c:numLit>
              <c:formatCode>General</c:formatCode>
              <c:ptCount val="11"/>
              <c:pt idx="0" formatCode="_(* #,##0_);_(* \(#,##0\);_(* &quot;-&quot;_);_(@_)">
                <c:v>82</c:v>
              </c:pt>
              <c:pt idx="2" formatCode="_(* #,##0_);_(* \(#,##0\);_(* &quot;-&quot;_);_(@_)">
                <c:v>132</c:v>
              </c:pt>
              <c:pt idx="4" formatCode="_(* #,##0_);_(* \(#,##0\);_(* &quot;-&quot;_);_(@_)">
                <c:v>159</c:v>
              </c:pt>
              <c:pt idx="6" formatCode="_(* #,##0_);_(* \(#,##0\);_(* &quot;-&quot;_);_(@_)">
                <c:v>105</c:v>
              </c:pt>
              <c:pt idx="8" formatCode="_(* #,##0_);_(* \(#,##0\);_(* &quot;-&quot;_);_(@_)">
                <c:v>135</c:v>
              </c:pt>
              <c:pt idx="10" formatCode="_(* #,##0_);_(* \(#,##0\);_(* &quot;-&quot;_);_(@_)">
                <c:v>121</c:v>
              </c:pt>
            </c:numLit>
          </c:val>
          <c:extLst>
            <c:ext xmlns:c16="http://schemas.microsoft.com/office/drawing/2014/chart" uri="{C3380CC4-5D6E-409C-BE32-E72D297353CC}">
              <c16:uniqueId val="{00000009-5EE8-4C48-B4ED-46D5E7B4424C}"/>
            </c:ext>
          </c:extLst>
        </c:ser>
        <c:ser>
          <c:idx val="2"/>
          <c:order val="2"/>
          <c:tx>
            <c:v>Facilidades</c:v>
          </c:tx>
          <c:spPr>
            <a:solidFill>
              <a:srgbClr val="FFC000"/>
            </a:solidFill>
            <a:ln>
              <a:noFill/>
            </a:ln>
            <a:effectLst/>
          </c:spPr>
          <c:invertIfNegative val="0"/>
          <c:dLbls>
            <c:dLbl>
              <c:idx val="0"/>
              <c:layout>
                <c:manualLayout>
                  <c:x val="0"/>
                  <c:y val="-2.038219060709274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5EE8-4C48-B4ED-46D5E7B4424C}"/>
                </c:ext>
              </c:extLst>
            </c:dLbl>
            <c:dLbl>
              <c:idx val="2"/>
              <c:layout>
                <c:manualLayout>
                  <c:x val="0"/>
                  <c:y val="-7.78929407529126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5EE8-4C48-B4ED-46D5E7B4424C}"/>
                </c:ext>
              </c:extLst>
            </c:dLbl>
            <c:dLbl>
              <c:idx val="6"/>
              <c:layout>
                <c:manualLayout>
                  <c:x val="0"/>
                  <c:y val="-1.976518038349086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5EE8-4C48-B4ED-46D5E7B4424C}"/>
                </c:ext>
              </c:extLst>
            </c:dLbl>
            <c:dLbl>
              <c:idx val="7"/>
              <c:layout>
                <c:manualLayout>
                  <c:x val="4.5301033936645584E-17"/>
                  <c:y val="-8.1619471833724891E-17"/>
                </c:manualLayout>
              </c:layout>
              <c:spPr>
                <a:noFill/>
                <a:ln>
                  <a:noFill/>
                </a:ln>
                <a:effectLst/>
              </c:spPr>
              <c:txPr>
                <a:bodyPr rot="0" spcFirstLastPara="1" vertOverflow="ellipsis" vert="horz" wrap="square" anchor="ctr" anchorCtr="1"/>
                <a:lstStyle/>
                <a:p>
                  <a:pPr>
                    <a:defRPr sz="1200" b="0" i="0" u="none" strike="noStrike" kern="1200" baseline="0">
                      <a:solidFill>
                        <a:schemeClr val="tx1">
                          <a:lumMod val="75000"/>
                          <a:lumOff val="25000"/>
                        </a:schemeClr>
                      </a:solidFill>
                      <a:latin typeface="Quatro" panose="020B0503000000020004" pitchFamily="34" charset="0"/>
                      <a:ea typeface="+mn-ea"/>
                      <a:cs typeface="+mn-cs"/>
                    </a:defRPr>
                  </a:pPr>
                  <a:endParaRPr lang="pt-B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5EE8-4C48-B4ED-46D5E7B4424C}"/>
                </c:ext>
              </c:extLst>
            </c:dLbl>
            <c:dLbl>
              <c:idx val="8"/>
              <c:layout>
                <c:manualLayout>
                  <c:x val="0"/>
                  <c:y val="-1.587053334584534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5EE8-4C48-B4ED-46D5E7B4424C}"/>
                </c:ext>
              </c:extLst>
            </c:dLbl>
            <c:spPr>
              <a:solidFill>
                <a:srgbClr val="FFC000"/>
              </a:solidFill>
              <a:ln>
                <a:noFill/>
              </a:ln>
              <a:effectLst/>
            </c:spPr>
            <c:txPr>
              <a:bodyPr rot="0" spcFirstLastPara="1" vertOverflow="ellipsis" vert="horz" wrap="square" anchor="ctr" anchorCtr="1"/>
              <a:lstStyle/>
              <a:p>
                <a:pPr>
                  <a:defRPr sz="1200" b="0" i="0" u="none" strike="noStrike" kern="1200" baseline="0">
                    <a:solidFill>
                      <a:schemeClr val="bg1"/>
                    </a:solidFill>
                    <a:latin typeface="Quatro" panose="020B0503000000020004" pitchFamily="34" charset="0"/>
                    <a:ea typeface="+mn-ea"/>
                    <a:cs typeface="+mn-cs"/>
                  </a:defRPr>
                </a:pPr>
                <a:endParaRPr lang="pt-B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1"/>
              <c:pt idx="0">
                <c:v>1T25</c:v>
              </c:pt>
              <c:pt idx="2">
                <c:v>2T25</c:v>
              </c:pt>
              <c:pt idx="4">
                <c:v>3T25</c:v>
              </c:pt>
              <c:pt idx="6">
                <c:v>4T25</c:v>
              </c:pt>
              <c:pt idx="8">
                <c:v>1T26</c:v>
              </c:pt>
              <c:pt idx="10">
                <c:v>2T26</c:v>
              </c:pt>
            </c:strLit>
          </c:cat>
          <c:val>
            <c:numLit>
              <c:formatCode>General</c:formatCode>
              <c:ptCount val="11"/>
              <c:pt idx="0" formatCode="_(* #,##0_);_(* \(#,##0\);_(* &quot;-&quot;_);_(@_)">
                <c:v>47</c:v>
              </c:pt>
              <c:pt idx="2" formatCode="_(* #,##0_);_(* \(#,##0\);_(* &quot;-&quot;_);_(@_)">
                <c:v>44</c:v>
              </c:pt>
              <c:pt idx="4" formatCode="_(* #,##0_);_(* \(#,##0\);_(* &quot;-&quot;_);_(@_)">
                <c:v>61</c:v>
              </c:pt>
              <c:pt idx="6" formatCode="_(* #,##0_);_(* \(#,##0\);_(* &quot;-&quot;_);_(@_)">
                <c:v>64</c:v>
              </c:pt>
              <c:pt idx="8" formatCode="_(* #,##0_);_(* \(#,##0\);_(* &quot;-&quot;_);_(@_)">
                <c:v>35</c:v>
              </c:pt>
              <c:pt idx="10" formatCode="_(* #,##0_);_(* \(#,##0\);_(* &quot;-&quot;_);_(@_)">
                <c:v>32</c:v>
              </c:pt>
            </c:numLit>
          </c:val>
          <c:extLst>
            <c:ext xmlns:c16="http://schemas.microsoft.com/office/drawing/2014/chart" uri="{C3380CC4-5D6E-409C-BE32-E72D297353CC}">
              <c16:uniqueId val="{0000000F-5EE8-4C48-B4ED-46D5E7B4424C}"/>
            </c:ext>
          </c:extLst>
        </c:ser>
        <c:dLbls>
          <c:showLegendKey val="0"/>
          <c:showVal val="1"/>
          <c:showCatName val="0"/>
          <c:showSerName val="0"/>
          <c:showPercent val="0"/>
          <c:showBubbleSize val="0"/>
        </c:dLbls>
        <c:gapWidth val="50"/>
        <c:overlap val="100"/>
        <c:axId val="339055487"/>
        <c:axId val="339051647"/>
      </c:barChart>
      <c:lineChart>
        <c:grouping val="standard"/>
        <c:varyColors val="0"/>
        <c:ser>
          <c:idx val="3"/>
          <c:order val="3"/>
          <c:tx>
            <c:v>Total</c:v>
          </c:tx>
          <c:spPr>
            <a:ln w="28575" cap="rnd">
              <a:solidFill>
                <a:schemeClr val="accent4"/>
              </a:solidFill>
              <a:round/>
            </a:ln>
            <a:effectLst/>
          </c:spPr>
          <c:marker>
            <c:symbol val="none"/>
          </c:marker>
          <c:dLbls>
            <c:dLbl>
              <c:idx val="0"/>
              <c:layout>
                <c:manualLayout>
                  <c:x val="-3.136454943018941E-2"/>
                  <c:y val="-7.471516076873036E-2"/>
                </c:manualLayout>
              </c:layout>
              <c:spPr>
                <a:noFill/>
                <a:ln>
                  <a:noFill/>
                </a:ln>
                <a:effectLst/>
              </c:spPr>
              <c:txPr>
                <a:bodyPr rot="0" spcFirstLastPara="1" vertOverflow="ellipsis" vert="horz" wrap="square" anchor="ctr" anchorCtr="1"/>
                <a:lstStyle/>
                <a:p>
                  <a:pPr>
                    <a:defRPr lang="en-US" sz="1300" b="1" i="0" u="none" strike="noStrike" kern="1200" baseline="0">
                      <a:solidFill>
                        <a:sysClr val="windowText" lastClr="000000">
                          <a:lumMod val="65000"/>
                          <a:lumOff val="35000"/>
                        </a:sysClr>
                      </a:solidFill>
                      <a:latin typeface="Quatro" panose="020B0503000000020004" pitchFamily="34" charset="0"/>
                      <a:ea typeface="Quatro" panose="020B0503000000020004" pitchFamily="34" charset="0"/>
                      <a:cs typeface="Quatro" panose="020B0503000000020004" pitchFamily="34" charset="0"/>
                    </a:defRPr>
                  </a:pPr>
                  <a:endParaRPr lang="pt-BR"/>
                </a:p>
              </c:tx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5EE8-4C48-B4ED-46D5E7B4424C}"/>
                </c:ext>
              </c:extLst>
            </c:dLbl>
            <c:dLbl>
              <c:idx val="2"/>
              <c:spPr>
                <a:noFill/>
                <a:ln>
                  <a:noFill/>
                </a:ln>
                <a:effectLst/>
              </c:spPr>
              <c:txPr>
                <a:bodyPr rot="0" spcFirstLastPara="1" vertOverflow="ellipsis" vert="horz" wrap="square" anchor="ctr" anchorCtr="0"/>
                <a:lstStyle/>
                <a:p>
                  <a:pPr algn="ctr" rtl="0">
                    <a:defRPr lang="en-US" sz="1300" b="1" i="0" u="none" strike="noStrike" kern="1200" baseline="0">
                      <a:solidFill>
                        <a:sysClr val="windowText" lastClr="000000">
                          <a:lumMod val="65000"/>
                          <a:lumOff val="35000"/>
                        </a:sysClr>
                      </a:solidFill>
                      <a:latin typeface="Quatro" panose="020B0503000000020004" pitchFamily="34" charset="0"/>
                      <a:ea typeface="Quatro" panose="020B0503000000020004" pitchFamily="34" charset="0"/>
                      <a:cs typeface="Quatro" panose="020B0503000000020004" pitchFamily="34" charset="0"/>
                    </a:defRPr>
                  </a:pPr>
                  <a:endParaRPr lang="pt-BR"/>
                </a:p>
              </c:txPr>
              <c:dLblPos val="t"/>
              <c:showLegendKey val="0"/>
              <c:showVal val="1"/>
              <c:showCatName val="0"/>
              <c:showSerName val="0"/>
              <c:showPercent val="0"/>
              <c:showBubbleSize val="0"/>
              <c:extLst>
                <c:ext xmlns:c16="http://schemas.microsoft.com/office/drawing/2014/chart" uri="{C3380CC4-5D6E-409C-BE32-E72D297353CC}">
                  <c16:uniqueId val="{00000011-5EE8-4C48-B4ED-46D5E7B4424C}"/>
                </c:ext>
              </c:extLst>
            </c:dLbl>
            <c:dLbl>
              <c:idx val="4"/>
              <c:spPr>
                <a:noFill/>
                <a:ln>
                  <a:noFill/>
                </a:ln>
                <a:effectLst/>
              </c:spPr>
              <c:txPr>
                <a:bodyPr rot="0" spcFirstLastPara="1" vertOverflow="ellipsis" vert="horz" wrap="square" anchor="ctr" anchorCtr="0"/>
                <a:lstStyle/>
                <a:p>
                  <a:pPr algn="ctr" rtl="0">
                    <a:defRPr lang="en-US" sz="1300" b="1" i="0" u="none" strike="noStrike" kern="1200" baseline="0">
                      <a:solidFill>
                        <a:sysClr val="windowText" lastClr="000000">
                          <a:lumMod val="65000"/>
                          <a:lumOff val="35000"/>
                        </a:sysClr>
                      </a:solidFill>
                      <a:latin typeface="Quatro" panose="020B0503000000020004" pitchFamily="34" charset="0"/>
                      <a:ea typeface="Quatro" panose="020B0503000000020004" pitchFamily="34" charset="0"/>
                      <a:cs typeface="Quatro" panose="020B0503000000020004" pitchFamily="34" charset="0"/>
                    </a:defRPr>
                  </a:pPr>
                  <a:endParaRPr lang="pt-BR"/>
                </a:p>
              </c:txPr>
              <c:dLblPos val="t"/>
              <c:showLegendKey val="0"/>
              <c:showVal val="1"/>
              <c:showCatName val="0"/>
              <c:showSerName val="0"/>
              <c:showPercent val="0"/>
              <c:showBubbleSize val="0"/>
              <c:extLst>
                <c:ext xmlns:c16="http://schemas.microsoft.com/office/drawing/2014/chart" uri="{C3380CC4-5D6E-409C-BE32-E72D297353CC}">
                  <c16:uniqueId val="{00000012-5EE8-4C48-B4ED-46D5E7B4424C}"/>
                </c:ext>
              </c:extLst>
            </c:dLbl>
            <c:dLbl>
              <c:idx val="6"/>
              <c:layout>
                <c:manualLayout>
                  <c:x val="-2.880959413994922E-2"/>
                  <c:y val="-6.6656730716743856E-2"/>
                </c:manualLayout>
              </c:layout>
              <c:spPr>
                <a:noFill/>
                <a:ln>
                  <a:noFill/>
                </a:ln>
                <a:effectLst/>
              </c:spPr>
              <c:txPr>
                <a:bodyPr rot="0" spcFirstLastPara="1" vertOverflow="ellipsis" vert="horz" wrap="square" anchor="ctr" anchorCtr="0"/>
                <a:lstStyle/>
                <a:p>
                  <a:pPr algn="ctr" rtl="0">
                    <a:defRPr lang="en-US" sz="1300" b="1" i="0" u="none" strike="noStrike" kern="1200" baseline="0">
                      <a:solidFill>
                        <a:sysClr val="windowText" lastClr="000000">
                          <a:lumMod val="65000"/>
                          <a:lumOff val="35000"/>
                        </a:sysClr>
                      </a:solidFill>
                      <a:latin typeface="Quatro" panose="020B0503000000020004" pitchFamily="34" charset="0"/>
                      <a:ea typeface="Quatro" panose="020B0503000000020004" pitchFamily="34" charset="0"/>
                      <a:cs typeface="Quatro" panose="020B0503000000020004" pitchFamily="34" charset="0"/>
                    </a:defRPr>
                  </a:pPr>
                  <a:endParaRPr lang="pt-BR"/>
                </a:p>
              </c:tx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5EE8-4C48-B4ED-46D5E7B4424C}"/>
                </c:ext>
              </c:extLst>
            </c:dLbl>
            <c:dLbl>
              <c:idx val="8"/>
              <c:layout>
                <c:manualLayout>
                  <c:x val="-2.8977991706765856E-2"/>
                  <c:y val="-7.4446024792035118E-2"/>
                </c:manualLayout>
              </c:layout>
              <c:spPr>
                <a:noFill/>
                <a:ln>
                  <a:noFill/>
                </a:ln>
                <a:effectLst/>
              </c:spPr>
              <c:txPr>
                <a:bodyPr rot="0" spcFirstLastPara="1" vertOverflow="ellipsis" vert="horz" wrap="square" anchor="ctr" anchorCtr="0"/>
                <a:lstStyle/>
                <a:p>
                  <a:pPr algn="ctr" rtl="0">
                    <a:defRPr lang="en-US" sz="1300" b="1" i="0" u="none" strike="noStrike" kern="1200" baseline="0">
                      <a:solidFill>
                        <a:sysClr val="windowText" lastClr="000000">
                          <a:lumMod val="65000"/>
                          <a:lumOff val="35000"/>
                        </a:sysClr>
                      </a:solidFill>
                      <a:latin typeface="Quatro" panose="020B0503000000020004" pitchFamily="34" charset="0"/>
                      <a:ea typeface="Quatro" panose="020B0503000000020004" pitchFamily="34" charset="0"/>
                      <a:cs typeface="Quatro" panose="020B0503000000020004" pitchFamily="34" charset="0"/>
                    </a:defRPr>
                  </a:pPr>
                  <a:endParaRPr lang="pt-BR"/>
                </a:p>
              </c:tx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5EE8-4C48-B4ED-46D5E7B4424C}"/>
                </c:ext>
              </c:extLst>
            </c:dLbl>
            <c:spPr>
              <a:noFill/>
              <a:ln>
                <a:noFill/>
              </a:ln>
              <a:effectLst/>
            </c:spPr>
            <c:txPr>
              <a:bodyPr rot="0" spcFirstLastPara="1" vertOverflow="ellipsis" vert="horz" wrap="square" anchor="ctr" anchorCtr="1"/>
              <a:lstStyle/>
              <a:p>
                <a:pPr>
                  <a:defRPr sz="1300" b="1" i="0" u="none" strike="noStrike" kern="1200" baseline="0">
                    <a:solidFill>
                      <a:schemeClr val="tx1">
                        <a:lumMod val="75000"/>
                        <a:lumOff val="25000"/>
                      </a:schemeClr>
                    </a:solidFill>
                    <a:latin typeface="Quatro" panose="020B0503000000020004" pitchFamily="34" charset="0"/>
                    <a:ea typeface="+mn-ea"/>
                    <a:cs typeface="+mn-cs"/>
                  </a:defRPr>
                </a:pPr>
                <a:endParaRPr lang="pt-B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11"/>
              <c:pt idx="0">
                <c:v>1T25</c:v>
              </c:pt>
              <c:pt idx="2">
                <c:v>2T25</c:v>
              </c:pt>
              <c:pt idx="4">
                <c:v>3T25</c:v>
              </c:pt>
              <c:pt idx="6">
                <c:v>4T25</c:v>
              </c:pt>
              <c:pt idx="8">
                <c:v>1T26</c:v>
              </c:pt>
              <c:pt idx="10">
                <c:v>2T26</c:v>
              </c:pt>
            </c:strLit>
          </c:cat>
          <c:val>
            <c:numLit>
              <c:formatCode>General</c:formatCode>
              <c:ptCount val="11"/>
              <c:pt idx="0" formatCode="_(* #,##0_);_(* \(#,##0\);_(* &quot;-&quot;_);_(@_)">
                <c:v>222</c:v>
              </c:pt>
              <c:pt idx="2" formatCode="_(* #,##0_);_(* \(#,##0\);_(* &quot;-&quot;_);_(@_)">
                <c:v>287</c:v>
              </c:pt>
              <c:pt idx="4" formatCode="_(* #,##0_);_(* \(#,##0\);_(* &quot;-&quot;_);_(@_)">
                <c:v>287.29041714000005</c:v>
              </c:pt>
              <c:pt idx="6" formatCode="_(* #,##0_);_(* \(#,##0\);_(* &quot;-&quot;_);_(@_)">
                <c:v>210</c:v>
              </c:pt>
              <c:pt idx="8" formatCode="_(* #,##0_);_(* \(#,##0\);_(* &quot;-&quot;_);_(@_)">
                <c:v>196</c:v>
              </c:pt>
              <c:pt idx="10" formatCode="_(* #,##0_);_(* \(#,##0\);_(* &quot;-&quot;_);_(@_)">
                <c:v>174</c:v>
              </c:pt>
            </c:numLit>
          </c:val>
          <c:smooth val="0"/>
          <c:extLst>
            <c:ext xmlns:c16="http://schemas.microsoft.com/office/drawing/2014/chart" uri="{C3380CC4-5D6E-409C-BE32-E72D297353CC}">
              <c16:uniqueId val="{00000015-5EE8-4C48-B4ED-46D5E7B4424C}"/>
            </c:ext>
          </c:extLst>
        </c:ser>
        <c:dLbls>
          <c:showLegendKey val="0"/>
          <c:showVal val="1"/>
          <c:showCatName val="0"/>
          <c:showSerName val="0"/>
          <c:showPercent val="0"/>
          <c:showBubbleSize val="0"/>
        </c:dLbls>
        <c:marker val="1"/>
        <c:smooth val="0"/>
        <c:axId val="339055487"/>
        <c:axId val="339051647"/>
      </c:lineChart>
      <c:catAx>
        <c:axId val="33905548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tx1">
                    <a:lumMod val="65000"/>
                    <a:lumOff val="35000"/>
                  </a:schemeClr>
                </a:solidFill>
                <a:latin typeface="Quatro" panose="020B0503000000020004" pitchFamily="34" charset="0"/>
                <a:ea typeface="+mn-ea"/>
                <a:cs typeface="+mn-cs"/>
              </a:defRPr>
            </a:pPr>
            <a:endParaRPr lang="pt-BR"/>
          </a:p>
        </c:txPr>
        <c:crossAx val="339051647"/>
        <c:crosses val="autoZero"/>
        <c:auto val="1"/>
        <c:lblAlgn val="ctr"/>
        <c:lblOffset val="200"/>
        <c:noMultiLvlLbl val="0"/>
      </c:catAx>
      <c:valAx>
        <c:axId val="339051647"/>
        <c:scaling>
          <c:orientation val="minMax"/>
          <c:max val="1300"/>
          <c:min val="0"/>
        </c:scaling>
        <c:delete val="1"/>
        <c:axPos val="l"/>
        <c:numFmt formatCode="_(* #,##0_);_(* \(#,##0\);_(* &quot;-&quot;_);_(@_)" sourceLinked="1"/>
        <c:majorTickMark val="out"/>
        <c:minorTickMark val="none"/>
        <c:tickLblPos val="nextTo"/>
        <c:crossAx val="339055487"/>
        <c:crosses val="autoZero"/>
        <c:crossBetween val="between"/>
      </c:valAx>
      <c:spPr>
        <a:noFill/>
        <a:ln>
          <a:noFill/>
        </a:ln>
        <a:effectLst/>
      </c:spPr>
    </c:plotArea>
    <c:legend>
      <c:legendPos val="b"/>
      <c:legendEntry>
        <c:idx val="3"/>
        <c:delete val="1"/>
      </c:legendEntry>
      <c:layout>
        <c:manualLayout>
          <c:xMode val="edge"/>
          <c:yMode val="edge"/>
          <c:x val="0.21207725224695201"/>
          <c:y val="0.87583515280075275"/>
          <c:w val="0.60556157440329883"/>
          <c:h val="7.7482206106558385E-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Quatro" panose="020B0503000000020004" pitchFamily="34" charset="0"/>
              <a:ea typeface="+mn-ea"/>
              <a:cs typeface="+mn-cs"/>
            </a:defRPr>
          </a:pPr>
          <a:endParaRPr lang="pt-BR"/>
        </a:p>
      </c:txPr>
    </c:legend>
    <c:plotVisOnly val="1"/>
    <c:dispBlanksAs val="gap"/>
    <c:showDLblsOverMax val="0"/>
  </c:chart>
  <c:spPr>
    <a:solidFill>
      <a:schemeClr val="bg1"/>
    </a:solidFill>
    <a:ln w="9525" cap="flat" cmpd="sng" algn="ctr">
      <a:noFill/>
      <a:round/>
    </a:ln>
    <a:effectLst/>
  </c:spPr>
  <c:txPr>
    <a:bodyPr/>
    <a:lstStyle/>
    <a:p>
      <a:pPr>
        <a:defRPr>
          <a:latin typeface="Quatro" panose="020B0503000000020004" pitchFamily="34" charset="0"/>
        </a:defRPr>
      </a:pPr>
      <a:endParaRPr lang="pt-BR"/>
    </a:p>
  </c:txPr>
  <c:printSettings>
    <c:headerFooter/>
    <c:pageMargins b="0.78740157499999996" l="0.511811024" r="0.511811024" t="0.78740157499999996" header="0.31496062000000002" footer="0.3149606200000000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chart" Target="../charts/chart1.xml"/><Relationship Id="rId2" Type="http://schemas.openxmlformats.org/officeDocument/2006/relationships/hyperlink" Target="#Sum&#225;rio!A1"/><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hyperlink" Target="#Sum&#225;rio!A1"/><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0</xdr:row>
      <xdr:rowOff>157277</xdr:rowOff>
    </xdr:from>
    <xdr:to>
      <xdr:col>8</xdr:col>
      <xdr:colOff>456280</xdr:colOff>
      <xdr:row>3</xdr:row>
      <xdr:rowOff>33455</xdr:rowOff>
    </xdr:to>
    <xdr:pic>
      <xdr:nvPicPr>
        <xdr:cNvPr id="2" name="Imagem 1">
          <a:extLst>
            <a:ext uri="{FF2B5EF4-FFF2-40B4-BE49-F238E27FC236}">
              <a16:creationId xmlns:a16="http://schemas.microsoft.com/office/drawing/2014/main" id="{0707A2BF-1EEB-40AC-BD53-A1808AF505EF}"/>
            </a:ext>
          </a:extLst>
        </xdr:cNvPr>
        <xdr:cNvPicPr>
          <a:picLocks noChangeAspect="1"/>
        </xdr:cNvPicPr>
      </xdr:nvPicPr>
      <xdr:blipFill rotWithShape="1">
        <a:blip xmlns:r="http://schemas.openxmlformats.org/officeDocument/2006/relationships" r:embed="rId1"/>
        <a:srcRect t="12729"/>
        <a:stretch/>
      </xdr:blipFill>
      <xdr:spPr>
        <a:xfrm>
          <a:off x="7031522" y="157277"/>
          <a:ext cx="2285080" cy="619128"/>
        </a:xfrm>
        <a:prstGeom prst="rect">
          <a:avLst/>
        </a:prstGeom>
      </xdr:spPr>
    </xdr:pic>
    <xdr:clientData/>
  </xdr:twoCellAnchor>
  <xdr:twoCellAnchor>
    <xdr:from>
      <xdr:col>0</xdr:col>
      <xdr:colOff>0</xdr:colOff>
      <xdr:row>0</xdr:row>
      <xdr:rowOff>0</xdr:rowOff>
    </xdr:from>
    <xdr:to>
      <xdr:col>2</xdr:col>
      <xdr:colOff>123825</xdr:colOff>
      <xdr:row>5</xdr:row>
      <xdr:rowOff>19050</xdr:rowOff>
    </xdr:to>
    <xdr:grpSp>
      <xdr:nvGrpSpPr>
        <xdr:cNvPr id="3" name="Agrupar 2">
          <a:extLst>
            <a:ext uri="{FF2B5EF4-FFF2-40B4-BE49-F238E27FC236}">
              <a16:creationId xmlns:a16="http://schemas.microsoft.com/office/drawing/2014/main" id="{F180B5A8-2E5A-4397-8FA5-E84270A12B88}"/>
            </a:ext>
          </a:extLst>
        </xdr:cNvPr>
        <xdr:cNvGrpSpPr/>
      </xdr:nvGrpSpPr>
      <xdr:grpSpPr>
        <a:xfrm>
          <a:off x="0" y="0"/>
          <a:ext cx="1558925" cy="1104900"/>
          <a:chOff x="0" y="0"/>
          <a:chExt cx="2933700" cy="2177592"/>
        </a:xfrm>
      </xdr:grpSpPr>
      <xdr:pic>
        <xdr:nvPicPr>
          <xdr:cNvPr id="4" name="Agrupar 2">
            <a:extLst>
              <a:ext uri="{FF2B5EF4-FFF2-40B4-BE49-F238E27FC236}">
                <a16:creationId xmlns:a16="http://schemas.microsoft.com/office/drawing/2014/main" id="{C1AF9466-6AE8-E085-FEDD-B15DBE246267}"/>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flipH="1">
            <a:off x="0" y="0"/>
            <a:ext cx="2933700" cy="2177592"/>
          </a:xfrm>
          <a:prstGeom prst="rect">
            <a:avLst/>
          </a:prstGeom>
        </xdr:spPr>
      </xdr:pic>
      <xdr:pic>
        <xdr:nvPicPr>
          <xdr:cNvPr id="5" name="Agrupar 2">
            <a:extLst>
              <a:ext uri="{FF2B5EF4-FFF2-40B4-BE49-F238E27FC236}">
                <a16:creationId xmlns:a16="http://schemas.microsoft.com/office/drawing/2014/main" id="{41392CD1-385F-CFB2-81FA-EF69753EC3AF}"/>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flipH="1">
            <a:off x="0" y="0"/>
            <a:ext cx="2933700" cy="2177592"/>
          </a:xfrm>
          <a:prstGeom prst="rect">
            <a:avLst/>
          </a:prstGeom>
        </xdr:spPr>
      </xdr:pic>
    </xdr:grpSp>
    <xdr:clientData/>
  </xdr:twoCellAnchor>
  <xdr:twoCellAnchor>
    <xdr:from>
      <xdr:col>0</xdr:col>
      <xdr:colOff>0</xdr:colOff>
      <xdr:row>33</xdr:row>
      <xdr:rowOff>171451</xdr:rowOff>
    </xdr:from>
    <xdr:to>
      <xdr:col>5</xdr:col>
      <xdr:colOff>0</xdr:colOff>
      <xdr:row>41</xdr:row>
      <xdr:rowOff>0</xdr:rowOff>
    </xdr:to>
    <xdr:sp macro="" textlink="">
      <xdr:nvSpPr>
        <xdr:cNvPr id="6" name="Retângulo 5">
          <a:extLst>
            <a:ext uri="{FF2B5EF4-FFF2-40B4-BE49-F238E27FC236}">
              <a16:creationId xmlns:a16="http://schemas.microsoft.com/office/drawing/2014/main" id="{6E6314A0-647A-4395-B8DD-4C19420B317A}"/>
            </a:ext>
          </a:extLst>
        </xdr:cNvPr>
        <xdr:cNvSpPr/>
      </xdr:nvSpPr>
      <xdr:spPr>
        <a:xfrm>
          <a:off x="0" y="6477001"/>
          <a:ext cx="3067050" cy="781049"/>
        </a:xfrm>
        <a:prstGeom prst="rect">
          <a:avLst/>
        </a:prstGeom>
        <a:blipFill dpi="0" rotWithShape="1">
          <a:blip xmlns:r="http://schemas.openxmlformats.org/officeDocument/2006/relationships" r:embed="rId3" cstate="print">
            <a:extLst>
              <a:ext uri="{28A0092B-C50C-407E-A947-70E740481C1C}">
                <a14:useLocalDpi xmlns:a14="http://schemas.microsoft.com/office/drawing/2010/main" val="0"/>
              </a:ext>
            </a:extLst>
          </a:blip>
          <a:srcRect/>
          <a:stretch>
            <a:fillRect/>
          </a:stretch>
        </a:blipFill>
        <a:ln>
          <a:solidFill>
            <a:srgbClr val="00943B"/>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pt-BR" sz="1400" b="1"/>
        </a:p>
      </xdr:txBody>
    </xdr:sp>
    <xdr:clientData/>
  </xdr:twoCellAnchor>
  <xdr:twoCellAnchor>
    <xdr:from>
      <xdr:col>5</xdr:col>
      <xdr:colOff>0</xdr:colOff>
      <xdr:row>33</xdr:row>
      <xdr:rowOff>171451</xdr:rowOff>
    </xdr:from>
    <xdr:to>
      <xdr:col>9</xdr:col>
      <xdr:colOff>0</xdr:colOff>
      <xdr:row>41</xdr:row>
      <xdr:rowOff>0</xdr:rowOff>
    </xdr:to>
    <xdr:sp macro="" textlink="">
      <xdr:nvSpPr>
        <xdr:cNvPr id="8" name="Retângulo 7">
          <a:extLst>
            <a:ext uri="{FF2B5EF4-FFF2-40B4-BE49-F238E27FC236}">
              <a16:creationId xmlns:a16="http://schemas.microsoft.com/office/drawing/2014/main" id="{502CE16E-53CD-4E3E-819A-4820EC9E7564}"/>
            </a:ext>
          </a:extLst>
        </xdr:cNvPr>
        <xdr:cNvSpPr/>
      </xdr:nvSpPr>
      <xdr:spPr>
        <a:xfrm>
          <a:off x="6410325" y="6477001"/>
          <a:ext cx="3067050" cy="781049"/>
        </a:xfrm>
        <a:prstGeom prst="rect">
          <a:avLst/>
        </a:prstGeom>
        <a:blipFill dpi="0" rotWithShape="1">
          <a:blip xmlns:r="http://schemas.openxmlformats.org/officeDocument/2006/relationships" r:embed="rId3" cstate="print">
            <a:extLst>
              <a:ext uri="{28A0092B-C50C-407E-A947-70E740481C1C}">
                <a14:useLocalDpi xmlns:a14="http://schemas.microsoft.com/office/drawing/2010/main" val="0"/>
              </a:ext>
            </a:extLst>
          </a:blip>
          <a:srcRect/>
          <a:stretch>
            <a:fillRect/>
          </a:stretch>
        </a:blipFill>
        <a:ln>
          <a:solidFill>
            <a:srgbClr val="00943B"/>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pt-BR" sz="1400" b="1"/>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E535F96F-40EC-449D-AC55-FCF28ED2C10D}"/>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29</xdr:col>
      <xdr:colOff>50800</xdr:colOff>
      <xdr:row>0</xdr:row>
      <xdr:rowOff>57150</xdr:rowOff>
    </xdr:from>
    <xdr:to>
      <xdr:col>30</xdr:col>
      <xdr:colOff>117475</xdr:colOff>
      <xdr:row>1</xdr:row>
      <xdr:rowOff>200025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E32DBEFB-5A7E-4706-B8BC-4DE13848A297}"/>
            </a:ext>
          </a:extLst>
        </xdr:cNvPr>
        <xdr:cNvSpPr/>
      </xdr:nvSpPr>
      <xdr:spPr>
        <a:xfrm>
          <a:off x="18859500" y="57150"/>
          <a:ext cx="974725" cy="3079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CE959976-482D-41E8-A473-19784F060306}"/>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39</xdr:col>
      <xdr:colOff>466725</xdr:colOff>
      <xdr:row>0</xdr:row>
      <xdr:rowOff>104775</xdr:rowOff>
    </xdr:from>
    <xdr:to>
      <xdr:col>41</xdr:col>
      <xdr:colOff>95250</xdr:colOff>
      <xdr:row>2</xdr:row>
      <xdr:rowOff>9525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577BFFA2-1DD4-478B-8BEA-9F5F97D82A55}"/>
            </a:ext>
          </a:extLst>
        </xdr:cNvPr>
        <xdr:cNvSpPr/>
      </xdr:nvSpPr>
      <xdr:spPr>
        <a:xfrm>
          <a:off x="14744700" y="104775"/>
          <a:ext cx="9429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2E6E1AD1-F9E8-4AFE-BFCA-B2E44F1969E4}"/>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45</xdr:col>
      <xdr:colOff>206375</xdr:colOff>
      <xdr:row>0</xdr:row>
      <xdr:rowOff>114300</xdr:rowOff>
    </xdr:from>
    <xdr:to>
      <xdr:col>46</xdr:col>
      <xdr:colOff>177800</xdr:colOff>
      <xdr:row>2</xdr:row>
      <xdr:rowOff>19050</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D5A4166F-514E-48EB-A41A-CFAF7BE7D5A5}"/>
            </a:ext>
          </a:extLst>
        </xdr:cNvPr>
        <xdr:cNvSpPr/>
      </xdr:nvSpPr>
      <xdr:spPr>
        <a:xfrm>
          <a:off x="21015325" y="114300"/>
          <a:ext cx="9175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B1A49A92-94EB-4F89-846A-2E81DC47D188}"/>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44</xdr:col>
      <xdr:colOff>193675</xdr:colOff>
      <xdr:row>1</xdr:row>
      <xdr:rowOff>0</xdr:rowOff>
    </xdr:from>
    <xdr:to>
      <xdr:col>45</xdr:col>
      <xdr:colOff>457200</xdr:colOff>
      <xdr:row>2</xdr:row>
      <xdr:rowOff>66675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21022D9A-51DC-4812-95F3-D252108C69B5}"/>
            </a:ext>
          </a:extLst>
        </xdr:cNvPr>
        <xdr:cNvSpPr/>
      </xdr:nvSpPr>
      <xdr:spPr>
        <a:xfrm>
          <a:off x="27828875" y="165100"/>
          <a:ext cx="904875" cy="30162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276225</xdr:colOff>
      <xdr:row>0</xdr:row>
      <xdr:rowOff>57150</xdr:rowOff>
    </xdr:from>
    <xdr:ext cx="1955982" cy="514902"/>
    <xdr:pic>
      <xdr:nvPicPr>
        <xdr:cNvPr id="2" name="Imagem 1" descr="Texto&#10;&#10;Descrição gerada automaticamente com confiança baixa">
          <a:extLst>
            <a:ext uri="{FF2B5EF4-FFF2-40B4-BE49-F238E27FC236}">
              <a16:creationId xmlns:a16="http://schemas.microsoft.com/office/drawing/2014/main" id="{F116E148-467C-4BE1-B799-F68E432F9159}"/>
            </a:ext>
          </a:extLst>
        </xdr:cNvPr>
        <xdr:cNvPicPr>
          <a:picLocks noChangeAspect="1"/>
        </xdr:cNvPicPr>
      </xdr:nvPicPr>
      <xdr:blipFill rotWithShape="1">
        <a:blip xmlns:r="http://schemas.openxmlformats.org/officeDocument/2006/relationships" r:embed="rId1"/>
        <a:srcRect t="12729"/>
        <a:stretch/>
      </xdr:blipFill>
      <xdr:spPr>
        <a:xfrm>
          <a:off x="273050" y="57150"/>
          <a:ext cx="1955982" cy="514902"/>
        </a:xfrm>
        <a:prstGeom prst="rect">
          <a:avLst/>
        </a:prstGeom>
      </xdr:spPr>
    </xdr:pic>
    <xdr:clientData/>
  </xdr:oneCellAnchor>
  <xdr:twoCellAnchor>
    <xdr:from>
      <xdr:col>6</xdr:col>
      <xdr:colOff>0</xdr:colOff>
      <xdr:row>1</xdr:row>
      <xdr:rowOff>0</xdr:rowOff>
    </xdr:from>
    <xdr:to>
      <xdr:col>6</xdr:col>
      <xdr:colOff>676275</xdr:colOff>
      <xdr:row>2</xdr:row>
      <xdr:rowOff>73212</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08FE6962-83DF-47A1-A06F-A4EB98CD44D7}"/>
            </a:ext>
          </a:extLst>
        </xdr:cNvPr>
        <xdr:cNvSpPr/>
      </xdr:nvSpPr>
      <xdr:spPr>
        <a:xfrm>
          <a:off x="6402294" y="18676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oneCellAnchor>
    <xdr:from>
      <xdr:col>0</xdr:col>
      <xdr:colOff>276225</xdr:colOff>
      <xdr:row>0</xdr:row>
      <xdr:rowOff>57150</xdr:rowOff>
    </xdr:from>
    <xdr:ext cx="1955982" cy="514902"/>
    <xdr:pic>
      <xdr:nvPicPr>
        <xdr:cNvPr id="5" name="Imagem 4" descr="Texto&#10;&#10;Descrição gerada automaticamente com confiança baixa">
          <a:extLst>
            <a:ext uri="{FF2B5EF4-FFF2-40B4-BE49-F238E27FC236}">
              <a16:creationId xmlns:a16="http://schemas.microsoft.com/office/drawing/2014/main" id="{91D7AACF-2B72-4104-AE6D-699023C7B01D}"/>
            </a:ext>
          </a:extLst>
        </xdr:cNvPr>
        <xdr:cNvPicPr>
          <a:picLocks noChangeAspect="1"/>
        </xdr:cNvPicPr>
      </xdr:nvPicPr>
      <xdr:blipFill rotWithShape="1">
        <a:blip xmlns:r="http://schemas.openxmlformats.org/officeDocument/2006/relationships" r:embed="rId1"/>
        <a:srcRect t="12729"/>
        <a:stretch/>
      </xdr:blipFill>
      <xdr:spPr>
        <a:xfrm>
          <a:off x="276225" y="57150"/>
          <a:ext cx="1955982" cy="514902"/>
        </a:xfrm>
        <a:prstGeom prst="rect">
          <a:avLst/>
        </a:prstGeom>
      </xdr:spPr>
    </xdr:pic>
    <xdr:clientData/>
  </xdr:oneCellAnchor>
  <xdr:oneCellAnchor>
    <xdr:from>
      <xdr:col>0</xdr:col>
      <xdr:colOff>276225</xdr:colOff>
      <xdr:row>0</xdr:row>
      <xdr:rowOff>57150</xdr:rowOff>
    </xdr:from>
    <xdr:ext cx="1955982" cy="514902"/>
    <xdr:pic>
      <xdr:nvPicPr>
        <xdr:cNvPr id="4" name="Imagem 3" descr="Texto&#10;&#10;Descrição gerada automaticamente com confiança baixa">
          <a:extLst>
            <a:ext uri="{FF2B5EF4-FFF2-40B4-BE49-F238E27FC236}">
              <a16:creationId xmlns:a16="http://schemas.microsoft.com/office/drawing/2014/main" id="{25C7E670-E49E-4CE2-8480-5A363ABBEB60}"/>
            </a:ext>
          </a:extLst>
        </xdr:cNvPr>
        <xdr:cNvPicPr>
          <a:picLocks noChangeAspect="1"/>
        </xdr:cNvPicPr>
      </xdr:nvPicPr>
      <xdr:blipFill rotWithShape="1">
        <a:blip xmlns:r="http://schemas.openxmlformats.org/officeDocument/2006/relationships" r:embed="rId1"/>
        <a:srcRect t="12729"/>
        <a:stretch/>
      </xdr:blipFill>
      <xdr:spPr>
        <a:xfrm>
          <a:off x="276225" y="57150"/>
          <a:ext cx="1955982" cy="514902"/>
        </a:xfrm>
        <a:prstGeom prst="rect">
          <a:avLst/>
        </a:prstGeom>
      </xdr:spPr>
    </xdr:pic>
    <xdr:clientData/>
  </xdr:oneCellAnchor>
  <xdr:twoCellAnchor>
    <xdr:from>
      <xdr:col>29</xdr:col>
      <xdr:colOff>298979</xdr:colOff>
      <xdr:row>28</xdr:row>
      <xdr:rowOff>131996</xdr:rowOff>
    </xdr:from>
    <xdr:to>
      <xdr:col>56</xdr:col>
      <xdr:colOff>278550</xdr:colOff>
      <xdr:row>49</xdr:row>
      <xdr:rowOff>0</xdr:rowOff>
    </xdr:to>
    <xdr:graphicFrame macro="">
      <xdr:nvGraphicFramePr>
        <xdr:cNvPr id="6" name="Gráfico 5">
          <a:extLst>
            <a:ext uri="{FF2B5EF4-FFF2-40B4-BE49-F238E27FC236}">
              <a16:creationId xmlns:a16="http://schemas.microsoft.com/office/drawing/2014/main" id="{E8729302-3084-4E0B-A42D-46BCDA36AA4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371475</xdr:colOff>
      <xdr:row>0</xdr:row>
      <xdr:rowOff>57150</xdr:rowOff>
    </xdr:from>
    <xdr:to>
      <xdr:col>1</xdr:col>
      <xdr:colOff>2226685</xdr:colOff>
      <xdr:row>3</xdr:row>
      <xdr:rowOff>28575</xdr:rowOff>
    </xdr:to>
    <xdr:pic>
      <xdr:nvPicPr>
        <xdr:cNvPr id="2" name="Imagem 1">
          <a:extLst>
            <a:ext uri="{FF2B5EF4-FFF2-40B4-BE49-F238E27FC236}">
              <a16:creationId xmlns:a16="http://schemas.microsoft.com/office/drawing/2014/main" id="{8FE24581-3598-4598-9EBA-F640F21500D8}"/>
            </a:ext>
          </a:extLst>
        </xdr:cNvPr>
        <xdr:cNvPicPr>
          <a:picLocks noChangeAspect="1"/>
        </xdr:cNvPicPr>
      </xdr:nvPicPr>
      <xdr:blipFill rotWithShape="1">
        <a:blip xmlns:r="http://schemas.openxmlformats.org/officeDocument/2006/relationships" r:embed="rId1"/>
        <a:srcRect l="4416" t="12729" b="6233"/>
        <a:stretch/>
      </xdr:blipFill>
      <xdr:spPr>
        <a:xfrm>
          <a:off x="542925" y="57150"/>
          <a:ext cx="1855210" cy="590550"/>
        </a:xfrm>
        <a:prstGeom prst="rect">
          <a:avLst/>
        </a:prstGeom>
      </xdr:spPr>
    </xdr:pic>
    <xdr:clientData/>
  </xdr:twoCellAnchor>
  <xdr:twoCellAnchor>
    <xdr:from>
      <xdr:col>63</xdr:col>
      <xdr:colOff>4595</xdr:colOff>
      <xdr:row>1</xdr:row>
      <xdr:rowOff>116419</xdr:rowOff>
    </xdr:from>
    <xdr:to>
      <xdr:col>64</xdr:col>
      <xdr:colOff>120306</xdr:colOff>
      <xdr:row>2</xdr:row>
      <xdr:rowOff>177802</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B4EFEC86-AB86-4ADE-A6B0-5006C501F389}"/>
            </a:ext>
          </a:extLst>
        </xdr:cNvPr>
        <xdr:cNvSpPr/>
      </xdr:nvSpPr>
      <xdr:spPr>
        <a:xfrm>
          <a:off x="17079039" y="299863"/>
          <a:ext cx="722489" cy="294217"/>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114300</xdr:colOff>
      <xdr:row>1</xdr:row>
      <xdr:rowOff>57150</xdr:rowOff>
    </xdr:from>
    <xdr:to>
      <xdr:col>1</xdr:col>
      <xdr:colOff>1798060</xdr:colOff>
      <xdr:row>3</xdr:row>
      <xdr:rowOff>123825</xdr:rowOff>
    </xdr:to>
    <xdr:pic>
      <xdr:nvPicPr>
        <xdr:cNvPr id="2" name="Imagem 1" descr="Texto&#10;&#10;Descrição gerada automaticamente com confiança baixa">
          <a:extLst>
            <a:ext uri="{FF2B5EF4-FFF2-40B4-BE49-F238E27FC236}">
              <a16:creationId xmlns:a16="http://schemas.microsoft.com/office/drawing/2014/main" id="{4CEFF05C-3135-4FCD-B9E6-444AC19E982A}"/>
            </a:ext>
          </a:extLst>
        </xdr:cNvPr>
        <xdr:cNvPicPr>
          <a:picLocks noChangeAspect="1"/>
        </xdr:cNvPicPr>
      </xdr:nvPicPr>
      <xdr:blipFill rotWithShape="1">
        <a:blip xmlns:r="http://schemas.openxmlformats.org/officeDocument/2006/relationships" r:embed="rId1"/>
        <a:srcRect l="4416" t="12729" b="6233"/>
        <a:stretch/>
      </xdr:blipFill>
      <xdr:spPr>
        <a:xfrm>
          <a:off x="114300" y="247650"/>
          <a:ext cx="1855210" cy="495300"/>
        </a:xfrm>
        <a:prstGeom prst="rect">
          <a:avLst/>
        </a:prstGeom>
      </xdr:spPr>
    </xdr:pic>
    <xdr:clientData/>
  </xdr:twoCellAnchor>
  <xdr:twoCellAnchor>
    <xdr:from>
      <xdr:col>14</xdr:col>
      <xdr:colOff>180975</xdr:colOff>
      <xdr:row>1</xdr:row>
      <xdr:rowOff>38100</xdr:rowOff>
    </xdr:from>
    <xdr:to>
      <xdr:col>15</xdr:col>
      <xdr:colOff>447675</xdr:colOff>
      <xdr:row>2</xdr:row>
      <xdr:rowOff>152400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7B975610-C0FA-4552-AE45-CC10A0921C51}"/>
            </a:ext>
          </a:extLst>
        </xdr:cNvPr>
        <xdr:cNvSpPr/>
      </xdr:nvSpPr>
      <xdr:spPr>
        <a:xfrm>
          <a:off x="14697075" y="228600"/>
          <a:ext cx="876300"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27</xdr:col>
      <xdr:colOff>0</xdr:colOff>
      <xdr:row>2</xdr:row>
      <xdr:rowOff>0</xdr:rowOff>
    </xdr:from>
    <xdr:to>
      <xdr:col>28</xdr:col>
      <xdr:colOff>245533</xdr:colOff>
      <xdr:row>3</xdr:row>
      <xdr:rowOff>66675</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4972533B-F89E-4E1A-889D-5C356BD0ED2D}"/>
            </a:ext>
          </a:extLst>
        </xdr:cNvPr>
        <xdr:cNvSpPr/>
      </xdr:nvSpPr>
      <xdr:spPr>
        <a:xfrm>
          <a:off x="18907125" y="381000"/>
          <a:ext cx="855133"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209550</xdr:colOff>
      <xdr:row>0</xdr:row>
      <xdr:rowOff>66675</xdr:rowOff>
    </xdr:from>
    <xdr:to>
      <xdr:col>3</xdr:col>
      <xdr:colOff>616960</xdr:colOff>
      <xdr:row>2</xdr:row>
      <xdr:rowOff>133350</xdr:rowOff>
    </xdr:to>
    <xdr:pic>
      <xdr:nvPicPr>
        <xdr:cNvPr id="2" name="Imagem 1">
          <a:extLst>
            <a:ext uri="{FF2B5EF4-FFF2-40B4-BE49-F238E27FC236}">
              <a16:creationId xmlns:a16="http://schemas.microsoft.com/office/drawing/2014/main" id="{4005E20F-56A2-4FE0-B8CC-B2B5814D6375}"/>
            </a:ext>
          </a:extLst>
        </xdr:cNvPr>
        <xdr:cNvPicPr>
          <a:picLocks noChangeAspect="1"/>
        </xdr:cNvPicPr>
      </xdr:nvPicPr>
      <xdr:blipFill rotWithShape="1">
        <a:blip xmlns:r="http://schemas.openxmlformats.org/officeDocument/2006/relationships" r:embed="rId1"/>
        <a:srcRect l="4416" t="12729" b="6233"/>
        <a:stretch/>
      </xdr:blipFill>
      <xdr:spPr>
        <a:xfrm>
          <a:off x="581025" y="66675"/>
          <a:ext cx="1855210" cy="495300"/>
        </a:xfrm>
        <a:prstGeom prst="rect">
          <a:avLst/>
        </a:prstGeom>
      </xdr:spPr>
    </xdr:pic>
    <xdr:clientData/>
  </xdr:twoCellAnchor>
  <xdr:twoCellAnchor>
    <xdr:from>
      <xdr:col>12</xdr:col>
      <xdr:colOff>104775</xdr:colOff>
      <xdr:row>0</xdr:row>
      <xdr:rowOff>152399</xdr:rowOff>
    </xdr:from>
    <xdr:to>
      <xdr:col>13</xdr:col>
      <xdr:colOff>352425</xdr:colOff>
      <xdr:row>2</xdr:row>
      <xdr:rowOff>47625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E6417208-3B02-4510-877A-FD1C7308C305}"/>
            </a:ext>
          </a:extLst>
        </xdr:cNvPr>
        <xdr:cNvSpPr/>
      </xdr:nvSpPr>
      <xdr:spPr>
        <a:xfrm>
          <a:off x="7639050" y="152399"/>
          <a:ext cx="904875" cy="323851"/>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3</xdr:col>
      <xdr:colOff>0</xdr:colOff>
      <xdr:row>13</xdr:row>
      <xdr:rowOff>0</xdr:rowOff>
    </xdr:from>
    <xdr:to>
      <xdr:col>17</xdr:col>
      <xdr:colOff>508142</xdr:colOff>
      <xdr:row>51</xdr:row>
      <xdr:rowOff>159735</xdr:rowOff>
    </xdr:to>
    <xdr:pic>
      <xdr:nvPicPr>
        <xdr:cNvPr id="3" name="Imagem 2">
          <a:extLst>
            <a:ext uri="{FF2B5EF4-FFF2-40B4-BE49-F238E27FC236}">
              <a16:creationId xmlns:a16="http://schemas.microsoft.com/office/drawing/2014/main" id="{8F12922D-F20D-4A8F-B5CC-454136D698ED}"/>
            </a:ext>
          </a:extLst>
        </xdr:cNvPr>
        <xdr:cNvPicPr>
          <a:picLocks noChangeAspect="1"/>
        </xdr:cNvPicPr>
      </xdr:nvPicPr>
      <xdr:blipFill>
        <a:blip xmlns:r="http://schemas.openxmlformats.org/officeDocument/2006/relationships" r:embed="rId3"/>
        <a:stretch>
          <a:fillRect/>
        </a:stretch>
      </xdr:blipFill>
      <xdr:spPr>
        <a:xfrm>
          <a:off x="1695450" y="2070100"/>
          <a:ext cx="10109342" cy="718283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28575</xdr:colOff>
      <xdr:row>0</xdr:row>
      <xdr:rowOff>142875</xdr:rowOff>
    </xdr:from>
    <xdr:to>
      <xdr:col>2</xdr:col>
      <xdr:colOff>1679526</xdr:colOff>
      <xdr:row>3</xdr:row>
      <xdr:rowOff>59266</xdr:rowOff>
    </xdr:to>
    <xdr:pic>
      <xdr:nvPicPr>
        <xdr:cNvPr id="2" name="Imagem 1">
          <a:extLst>
            <a:ext uri="{FF2B5EF4-FFF2-40B4-BE49-F238E27FC236}">
              <a16:creationId xmlns:a16="http://schemas.microsoft.com/office/drawing/2014/main" id="{4948F43E-7BF3-49BD-865E-1A08802641A7}"/>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0501" cy="476250"/>
        </a:xfrm>
        <a:prstGeom prst="rect">
          <a:avLst/>
        </a:prstGeom>
      </xdr:spPr>
    </xdr:pic>
    <xdr:clientData/>
  </xdr:twoCellAnchor>
  <xdr:twoCellAnchor>
    <xdr:from>
      <xdr:col>15</xdr:col>
      <xdr:colOff>0</xdr:colOff>
      <xdr:row>0</xdr:row>
      <xdr:rowOff>0</xdr:rowOff>
    </xdr:from>
    <xdr:to>
      <xdr:col>16</xdr:col>
      <xdr:colOff>66675</xdr:colOff>
      <xdr:row>1</xdr:row>
      <xdr:rowOff>142875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ECD5FFF1-2BD3-4231-8C5C-4F403E717DB8}"/>
            </a:ext>
          </a:extLst>
        </xdr:cNvPr>
        <xdr:cNvSpPr/>
      </xdr:nvSpPr>
      <xdr:spPr>
        <a:xfrm>
          <a:off x="18230850" y="0"/>
          <a:ext cx="676275" cy="31432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0</xdr:col>
      <xdr:colOff>28575</xdr:colOff>
      <xdr:row>0</xdr:row>
      <xdr:rowOff>142875</xdr:rowOff>
    </xdr:from>
    <xdr:to>
      <xdr:col>2</xdr:col>
      <xdr:colOff>1679526</xdr:colOff>
      <xdr:row>3</xdr:row>
      <xdr:rowOff>59266</xdr:rowOff>
    </xdr:to>
    <xdr:pic>
      <xdr:nvPicPr>
        <xdr:cNvPr id="4" name="Imagem 3">
          <a:extLst>
            <a:ext uri="{FF2B5EF4-FFF2-40B4-BE49-F238E27FC236}">
              <a16:creationId xmlns:a16="http://schemas.microsoft.com/office/drawing/2014/main" id="{2A989082-68C1-4453-BEFB-19601CF22A41}"/>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0501" cy="478366"/>
        </a:xfrm>
        <a:prstGeom prst="rect">
          <a:avLst/>
        </a:prstGeom>
      </xdr:spPr>
    </xdr:pic>
    <xdr:clientData/>
  </xdr:twoCellAnchor>
  <xdr:twoCellAnchor>
    <xdr:from>
      <xdr:col>15</xdr:col>
      <xdr:colOff>0</xdr:colOff>
      <xdr:row>0</xdr:row>
      <xdr:rowOff>0</xdr:rowOff>
    </xdr:from>
    <xdr:to>
      <xdr:col>16</xdr:col>
      <xdr:colOff>66675</xdr:colOff>
      <xdr:row>1</xdr:row>
      <xdr:rowOff>142875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7AD4EF26-A926-45D4-AF3B-A14F7C3C764A}"/>
            </a:ext>
          </a:extLst>
        </xdr:cNvPr>
        <xdr:cNvSpPr/>
      </xdr:nvSpPr>
      <xdr:spPr>
        <a:xfrm>
          <a:off x="18230850" y="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6</xdr:col>
      <xdr:colOff>116417</xdr:colOff>
      <xdr:row>1</xdr:row>
      <xdr:rowOff>0</xdr:rowOff>
    </xdr:from>
    <xdr:to>
      <xdr:col>6</xdr:col>
      <xdr:colOff>971550</xdr:colOff>
      <xdr:row>2</xdr:row>
      <xdr:rowOff>61383</xdr:rowOff>
    </xdr:to>
    <xdr:sp macro="" textlink="">
      <xdr:nvSpPr>
        <xdr:cNvPr id="6" name="Retângulo: Biselado 5">
          <a:hlinkClick xmlns:r="http://schemas.openxmlformats.org/officeDocument/2006/relationships" r:id="rId2"/>
          <a:extLst>
            <a:ext uri="{FF2B5EF4-FFF2-40B4-BE49-F238E27FC236}">
              <a16:creationId xmlns:a16="http://schemas.microsoft.com/office/drawing/2014/main" id="{95FDB67A-C795-49B5-AC0E-9161E67E1BAB}"/>
            </a:ext>
          </a:extLst>
        </xdr:cNvPr>
        <xdr:cNvSpPr/>
      </xdr:nvSpPr>
      <xdr:spPr>
        <a:xfrm>
          <a:off x="5545667" y="158750"/>
          <a:ext cx="855133"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oneCellAnchor>
    <xdr:from>
      <xdr:col>0</xdr:col>
      <xdr:colOff>28575</xdr:colOff>
      <xdr:row>0</xdr:row>
      <xdr:rowOff>142875</xdr:rowOff>
    </xdr:from>
    <xdr:ext cx="1871257" cy="492945"/>
    <xdr:pic>
      <xdr:nvPicPr>
        <xdr:cNvPr id="7" name="Imagem 6">
          <a:extLst>
            <a:ext uri="{FF2B5EF4-FFF2-40B4-BE49-F238E27FC236}">
              <a16:creationId xmlns:a16="http://schemas.microsoft.com/office/drawing/2014/main" id="{16A9E313-8C71-462B-81BC-B718C63C7FFD}"/>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6851" cy="487891"/>
        </a:xfrm>
        <a:prstGeom prst="rect">
          <a:avLst/>
        </a:prstGeom>
      </xdr:spPr>
    </xdr:pic>
    <xdr:clientData/>
  </xdr:oneCellAnchor>
  <xdr:twoCellAnchor>
    <xdr:from>
      <xdr:col>15</xdr:col>
      <xdr:colOff>0</xdr:colOff>
      <xdr:row>0</xdr:row>
      <xdr:rowOff>0</xdr:rowOff>
    </xdr:from>
    <xdr:to>
      <xdr:col>16</xdr:col>
      <xdr:colOff>66675</xdr:colOff>
      <xdr:row>1</xdr:row>
      <xdr:rowOff>142875</xdr:rowOff>
    </xdr:to>
    <xdr:sp macro="" textlink="">
      <xdr:nvSpPr>
        <xdr:cNvPr id="8" name="Retângulo: Biselado 7">
          <a:hlinkClick xmlns:r="http://schemas.openxmlformats.org/officeDocument/2006/relationships" r:id="rId2"/>
          <a:extLst>
            <a:ext uri="{FF2B5EF4-FFF2-40B4-BE49-F238E27FC236}">
              <a16:creationId xmlns:a16="http://schemas.microsoft.com/office/drawing/2014/main" id="{1CD9F7F3-B853-41D8-A735-C061FED6DDE9}"/>
            </a:ext>
          </a:extLst>
        </xdr:cNvPr>
        <xdr:cNvSpPr/>
      </xdr:nvSpPr>
      <xdr:spPr>
        <a:xfrm>
          <a:off x="19081750" y="0"/>
          <a:ext cx="676275" cy="3079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oneCellAnchor>
    <xdr:from>
      <xdr:col>0</xdr:col>
      <xdr:colOff>28575</xdr:colOff>
      <xdr:row>0</xdr:row>
      <xdr:rowOff>142875</xdr:rowOff>
    </xdr:from>
    <xdr:ext cx="1871257" cy="492945"/>
    <xdr:pic>
      <xdr:nvPicPr>
        <xdr:cNvPr id="9" name="Imagem 8">
          <a:extLst>
            <a:ext uri="{FF2B5EF4-FFF2-40B4-BE49-F238E27FC236}">
              <a16:creationId xmlns:a16="http://schemas.microsoft.com/office/drawing/2014/main" id="{E11764B9-7495-4814-8334-FD28EB8BAB49}"/>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6851" cy="487891"/>
        </a:xfrm>
        <a:prstGeom prst="rect">
          <a:avLst/>
        </a:prstGeom>
      </xdr:spPr>
    </xdr:pic>
    <xdr:clientData/>
  </xdr:oneCellAnchor>
  <xdr:twoCellAnchor>
    <xdr:from>
      <xdr:col>15</xdr:col>
      <xdr:colOff>0</xdr:colOff>
      <xdr:row>0</xdr:row>
      <xdr:rowOff>0</xdr:rowOff>
    </xdr:from>
    <xdr:to>
      <xdr:col>16</xdr:col>
      <xdr:colOff>66675</xdr:colOff>
      <xdr:row>1</xdr:row>
      <xdr:rowOff>142875</xdr:rowOff>
    </xdr:to>
    <xdr:sp macro="" textlink="">
      <xdr:nvSpPr>
        <xdr:cNvPr id="10" name="Retângulo: Biselado 9">
          <a:hlinkClick xmlns:r="http://schemas.openxmlformats.org/officeDocument/2006/relationships" r:id="rId2"/>
          <a:extLst>
            <a:ext uri="{FF2B5EF4-FFF2-40B4-BE49-F238E27FC236}">
              <a16:creationId xmlns:a16="http://schemas.microsoft.com/office/drawing/2014/main" id="{C2A19EDB-503F-42F6-BD48-3B48A90B6083}"/>
            </a:ext>
          </a:extLst>
        </xdr:cNvPr>
        <xdr:cNvSpPr/>
      </xdr:nvSpPr>
      <xdr:spPr>
        <a:xfrm>
          <a:off x="19081750" y="0"/>
          <a:ext cx="676275" cy="3079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6</xdr:col>
      <xdr:colOff>116417</xdr:colOff>
      <xdr:row>1</xdr:row>
      <xdr:rowOff>0</xdr:rowOff>
    </xdr:from>
    <xdr:to>
      <xdr:col>6</xdr:col>
      <xdr:colOff>971550</xdr:colOff>
      <xdr:row>2</xdr:row>
      <xdr:rowOff>61383</xdr:rowOff>
    </xdr:to>
    <xdr:sp macro="" textlink="">
      <xdr:nvSpPr>
        <xdr:cNvPr id="11" name="Retângulo: Biselado 10">
          <a:hlinkClick xmlns:r="http://schemas.openxmlformats.org/officeDocument/2006/relationships" r:id="rId2"/>
          <a:extLst>
            <a:ext uri="{FF2B5EF4-FFF2-40B4-BE49-F238E27FC236}">
              <a16:creationId xmlns:a16="http://schemas.microsoft.com/office/drawing/2014/main" id="{A6F26B0A-0AD6-4DA0-A952-BCA3FC36DB2B}"/>
            </a:ext>
          </a:extLst>
        </xdr:cNvPr>
        <xdr:cNvSpPr/>
      </xdr:nvSpPr>
      <xdr:spPr>
        <a:xfrm>
          <a:off x="5786967" y="165100"/>
          <a:ext cx="855133" cy="296333"/>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0</xdr:col>
      <xdr:colOff>28575</xdr:colOff>
      <xdr:row>0</xdr:row>
      <xdr:rowOff>142875</xdr:rowOff>
    </xdr:from>
    <xdr:to>
      <xdr:col>2</xdr:col>
      <xdr:colOff>1679526</xdr:colOff>
      <xdr:row>3</xdr:row>
      <xdr:rowOff>65616</xdr:rowOff>
    </xdr:to>
    <xdr:pic>
      <xdr:nvPicPr>
        <xdr:cNvPr id="12" name="Imagem 11">
          <a:extLst>
            <a:ext uri="{FF2B5EF4-FFF2-40B4-BE49-F238E27FC236}">
              <a16:creationId xmlns:a16="http://schemas.microsoft.com/office/drawing/2014/main" id="{17CEAFB5-C6C9-493C-B113-C61DA211BCBC}"/>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6851" cy="487891"/>
        </a:xfrm>
        <a:prstGeom prst="rect">
          <a:avLst/>
        </a:prstGeom>
      </xdr:spPr>
    </xdr:pic>
    <xdr:clientData/>
  </xdr:twoCellAnchor>
  <xdr:twoCellAnchor>
    <xdr:from>
      <xdr:col>15</xdr:col>
      <xdr:colOff>0</xdr:colOff>
      <xdr:row>0</xdr:row>
      <xdr:rowOff>0</xdr:rowOff>
    </xdr:from>
    <xdr:to>
      <xdr:col>16</xdr:col>
      <xdr:colOff>66675</xdr:colOff>
      <xdr:row>1</xdr:row>
      <xdr:rowOff>142875</xdr:rowOff>
    </xdr:to>
    <xdr:sp macro="" textlink="">
      <xdr:nvSpPr>
        <xdr:cNvPr id="13" name="Retângulo: Biselado 12">
          <a:hlinkClick xmlns:r="http://schemas.openxmlformats.org/officeDocument/2006/relationships" r:id="rId2"/>
          <a:extLst>
            <a:ext uri="{FF2B5EF4-FFF2-40B4-BE49-F238E27FC236}">
              <a16:creationId xmlns:a16="http://schemas.microsoft.com/office/drawing/2014/main" id="{843FDFC0-EC1E-4350-841F-2A820EDBED4C}"/>
            </a:ext>
          </a:extLst>
        </xdr:cNvPr>
        <xdr:cNvSpPr/>
      </xdr:nvSpPr>
      <xdr:spPr>
        <a:xfrm>
          <a:off x="19081750" y="0"/>
          <a:ext cx="676275" cy="3079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0</xdr:col>
      <xdr:colOff>28575</xdr:colOff>
      <xdr:row>0</xdr:row>
      <xdr:rowOff>142875</xdr:rowOff>
    </xdr:from>
    <xdr:to>
      <xdr:col>2</xdr:col>
      <xdr:colOff>1679526</xdr:colOff>
      <xdr:row>3</xdr:row>
      <xdr:rowOff>65616</xdr:rowOff>
    </xdr:to>
    <xdr:pic>
      <xdr:nvPicPr>
        <xdr:cNvPr id="14" name="Imagem 13">
          <a:extLst>
            <a:ext uri="{FF2B5EF4-FFF2-40B4-BE49-F238E27FC236}">
              <a16:creationId xmlns:a16="http://schemas.microsoft.com/office/drawing/2014/main" id="{580312BF-8397-4BC0-86D5-AACC2A6AEAC4}"/>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6851" cy="487891"/>
        </a:xfrm>
        <a:prstGeom prst="rect">
          <a:avLst/>
        </a:prstGeom>
      </xdr:spPr>
    </xdr:pic>
    <xdr:clientData/>
  </xdr:twoCellAnchor>
  <xdr:twoCellAnchor>
    <xdr:from>
      <xdr:col>15</xdr:col>
      <xdr:colOff>0</xdr:colOff>
      <xdr:row>0</xdr:row>
      <xdr:rowOff>0</xdr:rowOff>
    </xdr:from>
    <xdr:to>
      <xdr:col>16</xdr:col>
      <xdr:colOff>66675</xdr:colOff>
      <xdr:row>1</xdr:row>
      <xdr:rowOff>142875</xdr:rowOff>
    </xdr:to>
    <xdr:sp macro="" textlink="">
      <xdr:nvSpPr>
        <xdr:cNvPr id="15" name="Retângulo: Biselado 14">
          <a:hlinkClick xmlns:r="http://schemas.openxmlformats.org/officeDocument/2006/relationships" r:id="rId2"/>
          <a:extLst>
            <a:ext uri="{FF2B5EF4-FFF2-40B4-BE49-F238E27FC236}">
              <a16:creationId xmlns:a16="http://schemas.microsoft.com/office/drawing/2014/main" id="{EBC83880-C743-40D3-9E51-8724F3256D40}"/>
            </a:ext>
          </a:extLst>
        </xdr:cNvPr>
        <xdr:cNvSpPr/>
      </xdr:nvSpPr>
      <xdr:spPr>
        <a:xfrm>
          <a:off x="19081750" y="0"/>
          <a:ext cx="676275" cy="3079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6</xdr:col>
      <xdr:colOff>116417</xdr:colOff>
      <xdr:row>1</xdr:row>
      <xdr:rowOff>0</xdr:rowOff>
    </xdr:from>
    <xdr:to>
      <xdr:col>6</xdr:col>
      <xdr:colOff>971550</xdr:colOff>
      <xdr:row>2</xdr:row>
      <xdr:rowOff>61383</xdr:rowOff>
    </xdr:to>
    <xdr:sp macro="" textlink="">
      <xdr:nvSpPr>
        <xdr:cNvPr id="16" name="Retângulo: Biselado 15">
          <a:hlinkClick xmlns:r="http://schemas.openxmlformats.org/officeDocument/2006/relationships" r:id="rId2"/>
          <a:extLst>
            <a:ext uri="{FF2B5EF4-FFF2-40B4-BE49-F238E27FC236}">
              <a16:creationId xmlns:a16="http://schemas.microsoft.com/office/drawing/2014/main" id="{BFDF8A23-627E-4EBC-A308-B2EF9C6C520D}"/>
            </a:ext>
          </a:extLst>
        </xdr:cNvPr>
        <xdr:cNvSpPr/>
      </xdr:nvSpPr>
      <xdr:spPr>
        <a:xfrm>
          <a:off x="5786967" y="165100"/>
          <a:ext cx="855133" cy="296333"/>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114300</xdr:colOff>
      <xdr:row>0</xdr:row>
      <xdr:rowOff>57150</xdr:rowOff>
    </xdr:from>
    <xdr:to>
      <xdr:col>4</xdr:col>
      <xdr:colOff>45460</xdr:colOff>
      <xdr:row>2</xdr:row>
      <xdr:rowOff>123825</xdr:rowOff>
    </xdr:to>
    <xdr:pic>
      <xdr:nvPicPr>
        <xdr:cNvPr id="2" name="Imagem 1">
          <a:extLst>
            <a:ext uri="{FF2B5EF4-FFF2-40B4-BE49-F238E27FC236}">
              <a16:creationId xmlns:a16="http://schemas.microsoft.com/office/drawing/2014/main" id="{93FA1BE8-0F89-405D-9316-68453A31034A}"/>
            </a:ext>
          </a:extLst>
        </xdr:cNvPr>
        <xdr:cNvPicPr>
          <a:picLocks noChangeAspect="1"/>
        </xdr:cNvPicPr>
      </xdr:nvPicPr>
      <xdr:blipFill rotWithShape="1">
        <a:blip xmlns:r="http://schemas.openxmlformats.org/officeDocument/2006/relationships" r:embed="rId1"/>
        <a:srcRect l="4416" t="12729" b="6233"/>
        <a:stretch/>
      </xdr:blipFill>
      <xdr:spPr>
        <a:xfrm>
          <a:off x="114300" y="57150"/>
          <a:ext cx="1855210" cy="495300"/>
        </a:xfrm>
        <a:prstGeom prst="rect">
          <a:avLst/>
        </a:prstGeom>
      </xdr:spPr>
    </xdr:pic>
    <xdr:clientData/>
  </xdr:twoCellAnchor>
  <xdr:twoCellAnchor>
    <xdr:from>
      <xdr:col>16</xdr:col>
      <xdr:colOff>66676</xdr:colOff>
      <xdr:row>0</xdr:row>
      <xdr:rowOff>133349</xdr:rowOff>
    </xdr:from>
    <xdr:to>
      <xdr:col>16</xdr:col>
      <xdr:colOff>1095376</xdr:colOff>
      <xdr:row>2</xdr:row>
      <xdr:rowOff>57149</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FC7352A1-E719-4795-B16D-4C1F21C0A36E}"/>
            </a:ext>
          </a:extLst>
        </xdr:cNvPr>
        <xdr:cNvSpPr/>
      </xdr:nvSpPr>
      <xdr:spPr>
        <a:xfrm>
          <a:off x="6305551" y="133349"/>
          <a:ext cx="1028700" cy="35242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200025</xdr:colOff>
      <xdr:row>0</xdr:row>
      <xdr:rowOff>142875</xdr:rowOff>
    </xdr:from>
    <xdr:to>
      <xdr:col>5</xdr:col>
      <xdr:colOff>588385</xdr:colOff>
      <xdr:row>3</xdr:row>
      <xdr:rowOff>19050</xdr:rowOff>
    </xdr:to>
    <xdr:pic>
      <xdr:nvPicPr>
        <xdr:cNvPr id="2" name="Imagem 1">
          <a:extLst>
            <a:ext uri="{FF2B5EF4-FFF2-40B4-BE49-F238E27FC236}">
              <a16:creationId xmlns:a16="http://schemas.microsoft.com/office/drawing/2014/main" id="{FAC26FAD-539F-4BAE-9450-7AD481CA8A1C}"/>
            </a:ext>
          </a:extLst>
        </xdr:cNvPr>
        <xdr:cNvPicPr>
          <a:picLocks noChangeAspect="1"/>
        </xdr:cNvPicPr>
      </xdr:nvPicPr>
      <xdr:blipFill rotWithShape="1">
        <a:blip xmlns:r="http://schemas.openxmlformats.org/officeDocument/2006/relationships" r:embed="rId1"/>
        <a:srcRect l="4416" t="12729" b="6233"/>
        <a:stretch/>
      </xdr:blipFill>
      <xdr:spPr>
        <a:xfrm>
          <a:off x="371475" y="142875"/>
          <a:ext cx="1855210" cy="495300"/>
        </a:xfrm>
        <a:prstGeom prst="rect">
          <a:avLst/>
        </a:prstGeom>
      </xdr:spPr>
    </xdr:pic>
    <xdr:clientData/>
  </xdr:twoCellAnchor>
  <xdr:twoCellAnchor>
    <xdr:from>
      <xdr:col>17</xdr:col>
      <xdr:colOff>381000</xdr:colOff>
      <xdr:row>1</xdr:row>
      <xdr:rowOff>171450</xdr:rowOff>
    </xdr:from>
    <xdr:to>
      <xdr:col>19</xdr:col>
      <xdr:colOff>285750</xdr:colOff>
      <xdr:row>3</xdr:row>
      <xdr:rowOff>47625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86A535BF-999D-4C33-9A04-B3971D8DBA02}"/>
            </a:ext>
          </a:extLst>
        </xdr:cNvPr>
        <xdr:cNvSpPr/>
      </xdr:nvSpPr>
      <xdr:spPr>
        <a:xfrm>
          <a:off x="7029450" y="36195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114300</xdr:colOff>
      <xdr:row>0</xdr:row>
      <xdr:rowOff>57150</xdr:rowOff>
    </xdr:from>
    <xdr:to>
      <xdr:col>4</xdr:col>
      <xdr:colOff>45460</xdr:colOff>
      <xdr:row>2</xdr:row>
      <xdr:rowOff>171450</xdr:rowOff>
    </xdr:to>
    <xdr:pic>
      <xdr:nvPicPr>
        <xdr:cNvPr id="2" name="Imagem 1">
          <a:extLst>
            <a:ext uri="{FF2B5EF4-FFF2-40B4-BE49-F238E27FC236}">
              <a16:creationId xmlns:a16="http://schemas.microsoft.com/office/drawing/2014/main" id="{59D5A0C5-B01C-4CE8-86B2-31C9D59E79BD}"/>
            </a:ext>
          </a:extLst>
        </xdr:cNvPr>
        <xdr:cNvPicPr>
          <a:picLocks noChangeAspect="1"/>
        </xdr:cNvPicPr>
      </xdr:nvPicPr>
      <xdr:blipFill rotWithShape="1">
        <a:blip xmlns:r="http://schemas.openxmlformats.org/officeDocument/2006/relationships" r:embed="rId1"/>
        <a:srcRect l="4416" t="12729" b="6233"/>
        <a:stretch/>
      </xdr:blipFill>
      <xdr:spPr>
        <a:xfrm>
          <a:off x="114300" y="57150"/>
          <a:ext cx="1855210" cy="542925"/>
        </a:xfrm>
        <a:prstGeom prst="rect">
          <a:avLst/>
        </a:prstGeom>
      </xdr:spPr>
    </xdr:pic>
    <xdr:clientData/>
  </xdr:twoCellAnchor>
  <xdr:twoCellAnchor>
    <xdr:from>
      <xdr:col>9</xdr:col>
      <xdr:colOff>133350</xdr:colOff>
      <xdr:row>0</xdr:row>
      <xdr:rowOff>142875</xdr:rowOff>
    </xdr:from>
    <xdr:to>
      <xdr:col>10</xdr:col>
      <xdr:colOff>485775</xdr:colOff>
      <xdr:row>2</xdr:row>
      <xdr:rowOff>19050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F6D3845D-B552-4388-863A-26DEC6951D74}"/>
            </a:ext>
          </a:extLst>
        </xdr:cNvPr>
        <xdr:cNvSpPr/>
      </xdr:nvSpPr>
      <xdr:spPr>
        <a:xfrm>
          <a:off x="5743575" y="14287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0</xdr:col>
      <xdr:colOff>114300</xdr:colOff>
      <xdr:row>0</xdr:row>
      <xdr:rowOff>57150</xdr:rowOff>
    </xdr:from>
    <xdr:to>
      <xdr:col>4</xdr:col>
      <xdr:colOff>45460</xdr:colOff>
      <xdr:row>2</xdr:row>
      <xdr:rowOff>171450</xdr:rowOff>
    </xdr:to>
    <xdr:pic>
      <xdr:nvPicPr>
        <xdr:cNvPr id="4" name="Imagem 3">
          <a:extLst>
            <a:ext uri="{FF2B5EF4-FFF2-40B4-BE49-F238E27FC236}">
              <a16:creationId xmlns:a16="http://schemas.microsoft.com/office/drawing/2014/main" id="{82C43070-7F25-45D8-A87D-D841624120CF}"/>
            </a:ext>
          </a:extLst>
        </xdr:cNvPr>
        <xdr:cNvPicPr>
          <a:picLocks noChangeAspect="1"/>
        </xdr:cNvPicPr>
      </xdr:nvPicPr>
      <xdr:blipFill rotWithShape="1">
        <a:blip xmlns:r="http://schemas.openxmlformats.org/officeDocument/2006/relationships" r:embed="rId1"/>
        <a:srcRect l="4416" t="12729" b="6233"/>
        <a:stretch/>
      </xdr:blipFill>
      <xdr:spPr>
        <a:xfrm>
          <a:off x="114300" y="57150"/>
          <a:ext cx="1944110" cy="533400"/>
        </a:xfrm>
        <a:prstGeom prst="rect">
          <a:avLst/>
        </a:prstGeom>
      </xdr:spPr>
    </xdr:pic>
    <xdr:clientData/>
  </xdr:twoCellAnchor>
  <xdr:twoCellAnchor>
    <xdr:from>
      <xdr:col>9</xdr:col>
      <xdr:colOff>133350</xdr:colOff>
      <xdr:row>0</xdr:row>
      <xdr:rowOff>142875</xdr:rowOff>
    </xdr:from>
    <xdr:to>
      <xdr:col>10</xdr:col>
      <xdr:colOff>485775</xdr:colOff>
      <xdr:row>2</xdr:row>
      <xdr:rowOff>19050</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3F9CC1C6-DB90-462E-924F-D31241C7CA0C}"/>
            </a:ext>
          </a:extLst>
        </xdr:cNvPr>
        <xdr:cNvSpPr/>
      </xdr:nvSpPr>
      <xdr:spPr>
        <a:xfrm>
          <a:off x="6667500" y="142875"/>
          <a:ext cx="688975" cy="2952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28575</xdr:colOff>
      <xdr:row>0</xdr:row>
      <xdr:rowOff>142875</xdr:rowOff>
    </xdr:from>
    <xdr:to>
      <xdr:col>2</xdr:col>
      <xdr:colOff>1674235</xdr:colOff>
      <xdr:row>3</xdr:row>
      <xdr:rowOff>95250</xdr:rowOff>
    </xdr:to>
    <xdr:pic>
      <xdr:nvPicPr>
        <xdr:cNvPr id="2" name="Imagem 1">
          <a:extLst>
            <a:ext uri="{FF2B5EF4-FFF2-40B4-BE49-F238E27FC236}">
              <a16:creationId xmlns:a16="http://schemas.microsoft.com/office/drawing/2014/main" id="{E426F527-7B87-446D-B5E2-64E9E2B71C29}"/>
            </a:ext>
          </a:extLst>
        </xdr:cNvPr>
        <xdr:cNvPicPr>
          <a:picLocks noChangeAspect="1"/>
        </xdr:cNvPicPr>
      </xdr:nvPicPr>
      <xdr:blipFill rotWithShape="1">
        <a:blip xmlns:r="http://schemas.openxmlformats.org/officeDocument/2006/relationships" r:embed="rId1"/>
        <a:srcRect l="4416" t="12729" b="6233"/>
        <a:stretch/>
      </xdr:blipFill>
      <xdr:spPr>
        <a:xfrm>
          <a:off x="28575" y="114300"/>
          <a:ext cx="1855210" cy="495300"/>
        </a:xfrm>
        <a:prstGeom prst="rect">
          <a:avLst/>
        </a:prstGeom>
      </xdr:spPr>
    </xdr:pic>
    <xdr:clientData/>
  </xdr:twoCellAnchor>
  <xdr:twoCellAnchor>
    <xdr:from>
      <xdr:col>131</xdr:col>
      <xdr:colOff>171450</xdr:colOff>
      <xdr:row>1</xdr:row>
      <xdr:rowOff>104775</xdr:rowOff>
    </xdr:from>
    <xdr:to>
      <xdr:col>132</xdr:col>
      <xdr:colOff>238125</xdr:colOff>
      <xdr:row>3</xdr:row>
      <xdr:rowOff>9525</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422F80D3-5A4A-47BB-ABB8-724FD507DAE5}"/>
            </a:ext>
          </a:extLst>
        </xdr:cNvPr>
        <xdr:cNvSpPr/>
      </xdr:nvSpPr>
      <xdr:spPr>
        <a:xfrm>
          <a:off x="26543000" y="21907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28575</xdr:colOff>
      <xdr:row>0</xdr:row>
      <xdr:rowOff>142875</xdr:rowOff>
    </xdr:from>
    <xdr:to>
      <xdr:col>2</xdr:col>
      <xdr:colOff>1674235</xdr:colOff>
      <xdr:row>4</xdr:row>
      <xdr:rowOff>6350</xdr:rowOff>
    </xdr:to>
    <xdr:pic>
      <xdr:nvPicPr>
        <xdr:cNvPr id="2" name="Imagem 1">
          <a:extLst>
            <a:ext uri="{FF2B5EF4-FFF2-40B4-BE49-F238E27FC236}">
              <a16:creationId xmlns:a16="http://schemas.microsoft.com/office/drawing/2014/main" id="{8C22F815-EFF3-45F4-868D-8A5B9E348C9A}"/>
            </a:ext>
          </a:extLst>
        </xdr:cNvPr>
        <xdr:cNvPicPr>
          <a:picLocks noChangeAspect="1"/>
        </xdr:cNvPicPr>
      </xdr:nvPicPr>
      <xdr:blipFill rotWithShape="1">
        <a:blip xmlns:r="http://schemas.openxmlformats.org/officeDocument/2006/relationships" r:embed="rId1"/>
        <a:srcRect l="4416" t="12729" b="6233"/>
        <a:stretch/>
      </xdr:blipFill>
      <xdr:spPr>
        <a:xfrm>
          <a:off x="28575" y="114300"/>
          <a:ext cx="1855210" cy="495300"/>
        </a:xfrm>
        <a:prstGeom prst="rect">
          <a:avLst/>
        </a:prstGeom>
      </xdr:spPr>
    </xdr:pic>
    <xdr:clientData/>
  </xdr:twoCellAnchor>
  <xdr:twoCellAnchor>
    <xdr:from>
      <xdr:col>11</xdr:col>
      <xdr:colOff>590550</xdr:colOff>
      <xdr:row>54</xdr:row>
      <xdr:rowOff>0</xdr:rowOff>
    </xdr:from>
    <xdr:to>
      <xdr:col>13</xdr:col>
      <xdr:colOff>85725</xdr:colOff>
      <xdr:row>56</xdr:row>
      <xdr:rowOff>76200</xdr:rowOff>
    </xdr:to>
    <xdr:sp macro="" textlink="">
      <xdr:nvSpPr>
        <xdr:cNvPr id="3" name="Elipse 2">
          <a:extLst>
            <a:ext uri="{FF2B5EF4-FFF2-40B4-BE49-F238E27FC236}">
              <a16:creationId xmlns:a16="http://schemas.microsoft.com/office/drawing/2014/main" id="{2ED5E645-1F62-47AD-95D3-B317A216F1D3}"/>
            </a:ext>
          </a:extLst>
        </xdr:cNvPr>
        <xdr:cNvSpPr/>
      </xdr:nvSpPr>
      <xdr:spPr>
        <a:xfrm>
          <a:off x="7839075" y="11877675"/>
          <a:ext cx="714375" cy="3238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19</xdr:col>
      <xdr:colOff>171450</xdr:colOff>
      <xdr:row>0</xdr:row>
      <xdr:rowOff>95250</xdr:rowOff>
    </xdr:from>
    <xdr:to>
      <xdr:col>20</xdr:col>
      <xdr:colOff>238125</xdr:colOff>
      <xdr:row>2</xdr:row>
      <xdr:rowOff>47625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119834D8-A7BB-45AE-9AAC-C1FA6255865E}"/>
            </a:ext>
          </a:extLst>
        </xdr:cNvPr>
        <xdr:cNvSpPr/>
      </xdr:nvSpPr>
      <xdr:spPr>
        <a:xfrm>
          <a:off x="12944475" y="9525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4</xdr:col>
      <xdr:colOff>369310</xdr:colOff>
      <xdr:row>3</xdr:row>
      <xdr:rowOff>28575</xdr:rowOff>
    </xdr:to>
    <xdr:pic>
      <xdr:nvPicPr>
        <xdr:cNvPr id="2" name="Imagem 1">
          <a:extLst>
            <a:ext uri="{FF2B5EF4-FFF2-40B4-BE49-F238E27FC236}">
              <a16:creationId xmlns:a16="http://schemas.microsoft.com/office/drawing/2014/main" id="{37B5C5A5-6AE2-453A-B88C-E6249F0A5F1A}"/>
            </a:ext>
          </a:extLst>
        </xdr:cNvPr>
        <xdr:cNvPicPr>
          <a:picLocks noChangeAspect="1"/>
        </xdr:cNvPicPr>
      </xdr:nvPicPr>
      <xdr:blipFill rotWithShape="1">
        <a:blip xmlns:r="http://schemas.openxmlformats.org/officeDocument/2006/relationships" r:embed="rId1"/>
        <a:srcRect l="4416" t="12729" b="6233"/>
        <a:stretch/>
      </xdr:blipFill>
      <xdr:spPr>
        <a:xfrm>
          <a:off x="0" y="76200"/>
          <a:ext cx="1855210" cy="514350"/>
        </a:xfrm>
        <a:prstGeom prst="rect">
          <a:avLst/>
        </a:prstGeom>
      </xdr:spPr>
    </xdr:pic>
    <xdr:clientData/>
  </xdr:twoCellAnchor>
  <xdr:twoCellAnchor>
    <xdr:from>
      <xdr:col>25</xdr:col>
      <xdr:colOff>171450</xdr:colOff>
      <xdr:row>0</xdr:row>
      <xdr:rowOff>0</xdr:rowOff>
    </xdr:from>
    <xdr:to>
      <xdr:col>26</xdr:col>
      <xdr:colOff>238125</xdr:colOff>
      <xdr:row>1</xdr:row>
      <xdr:rowOff>142875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9420D68D-4293-4D0F-8FBC-DD74BAC53068}"/>
            </a:ext>
          </a:extLst>
        </xdr:cNvPr>
        <xdr:cNvSpPr/>
      </xdr:nvSpPr>
      <xdr:spPr>
        <a:xfrm>
          <a:off x="9153525" y="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4</xdr:col>
      <xdr:colOff>666750</xdr:colOff>
      <xdr:row>1</xdr:row>
      <xdr:rowOff>38100</xdr:rowOff>
    </xdr:from>
    <xdr:to>
      <xdr:col>5</xdr:col>
      <xdr:colOff>238125</xdr:colOff>
      <xdr:row>2</xdr:row>
      <xdr:rowOff>104775</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875A3D13-8624-44EF-B4BB-F3DD8EBE2B2E}"/>
            </a:ext>
          </a:extLst>
        </xdr:cNvPr>
        <xdr:cNvSpPr/>
      </xdr:nvSpPr>
      <xdr:spPr>
        <a:xfrm>
          <a:off x="2152650" y="20002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3</xdr:col>
      <xdr:colOff>416935</xdr:colOff>
      <xdr:row>2</xdr:row>
      <xdr:rowOff>95250</xdr:rowOff>
    </xdr:to>
    <xdr:pic>
      <xdr:nvPicPr>
        <xdr:cNvPr id="2" name="Imagem 1">
          <a:extLst>
            <a:ext uri="{FF2B5EF4-FFF2-40B4-BE49-F238E27FC236}">
              <a16:creationId xmlns:a16="http://schemas.microsoft.com/office/drawing/2014/main" id="{0AB4F278-DBD5-4111-AAE7-7143996B3EB9}"/>
            </a:ext>
          </a:extLst>
        </xdr:cNvPr>
        <xdr:cNvPicPr>
          <a:picLocks noChangeAspect="1"/>
        </xdr:cNvPicPr>
      </xdr:nvPicPr>
      <xdr:blipFill rotWithShape="1">
        <a:blip xmlns:r="http://schemas.openxmlformats.org/officeDocument/2006/relationships" r:embed="rId1"/>
        <a:srcRect l="4416" t="12729" b="6233"/>
        <a:stretch/>
      </xdr:blipFill>
      <xdr:spPr>
        <a:xfrm>
          <a:off x="0" y="76200"/>
          <a:ext cx="1855210" cy="495300"/>
        </a:xfrm>
        <a:prstGeom prst="rect">
          <a:avLst/>
        </a:prstGeom>
      </xdr:spPr>
    </xdr:pic>
    <xdr:clientData/>
  </xdr:twoCellAnchor>
  <xdr:twoCellAnchor>
    <xdr:from>
      <xdr:col>23</xdr:col>
      <xdr:colOff>247650</xdr:colOff>
      <xdr:row>1</xdr:row>
      <xdr:rowOff>0</xdr:rowOff>
    </xdr:from>
    <xdr:to>
      <xdr:col>24</xdr:col>
      <xdr:colOff>295275</xdr:colOff>
      <xdr:row>2</xdr:row>
      <xdr:rowOff>66675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75CB9A6A-56EF-43A9-8337-33032E50D8C4}"/>
            </a:ext>
          </a:extLst>
        </xdr:cNvPr>
        <xdr:cNvSpPr/>
      </xdr:nvSpPr>
      <xdr:spPr>
        <a:xfrm>
          <a:off x="11953875" y="23812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3</xdr:col>
      <xdr:colOff>416935</xdr:colOff>
      <xdr:row>3</xdr:row>
      <xdr:rowOff>9525</xdr:rowOff>
    </xdr:to>
    <xdr:pic>
      <xdr:nvPicPr>
        <xdr:cNvPr id="2" name="Imagem 1">
          <a:extLst>
            <a:ext uri="{FF2B5EF4-FFF2-40B4-BE49-F238E27FC236}">
              <a16:creationId xmlns:a16="http://schemas.microsoft.com/office/drawing/2014/main" id="{D4F3A489-A5F4-49B2-A214-3B10929CBD66}"/>
            </a:ext>
          </a:extLst>
        </xdr:cNvPr>
        <xdr:cNvPicPr>
          <a:picLocks noChangeAspect="1"/>
        </xdr:cNvPicPr>
      </xdr:nvPicPr>
      <xdr:blipFill rotWithShape="1">
        <a:blip xmlns:r="http://schemas.openxmlformats.org/officeDocument/2006/relationships" r:embed="rId1"/>
        <a:srcRect l="4416" t="12729" b="6233"/>
        <a:stretch/>
      </xdr:blipFill>
      <xdr:spPr>
        <a:xfrm>
          <a:off x="0" y="76200"/>
          <a:ext cx="1855210" cy="495300"/>
        </a:xfrm>
        <a:prstGeom prst="rect">
          <a:avLst/>
        </a:prstGeom>
      </xdr:spPr>
    </xdr:pic>
    <xdr:clientData/>
  </xdr:twoCellAnchor>
  <xdr:twoCellAnchor>
    <xdr:from>
      <xdr:col>12</xdr:col>
      <xdr:colOff>285750</xdr:colOff>
      <xdr:row>0</xdr:row>
      <xdr:rowOff>95250</xdr:rowOff>
    </xdr:from>
    <xdr:to>
      <xdr:col>13</xdr:col>
      <xdr:colOff>333375</xdr:colOff>
      <xdr:row>2</xdr:row>
      <xdr:rowOff>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134A3298-183B-42CE-A3CA-C8AE87B28F6A}"/>
            </a:ext>
          </a:extLst>
        </xdr:cNvPr>
        <xdr:cNvSpPr/>
      </xdr:nvSpPr>
      <xdr:spPr>
        <a:xfrm>
          <a:off x="7686675" y="9525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persons/person.xml><?xml version="1.0" encoding="utf-8"?>
<personList xmlns="http://schemas.microsoft.com/office/spreadsheetml/2018/threadedcomments" xmlns:x="http://schemas.openxmlformats.org/spreadsheetml/2006/main">
  <person displayName="Hermann Guimaraes Duarte Goulart" id="{17068419-0711-49CE-BF4D-5B00CA7C4D6E}" userId="S::hermann.goulart@petroreconcavo.com.br::d02d319b-cd99-417f-8960-ecfbfec8ae3c" providerId="AD"/>
</personList>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O14" dT="2025-08-07T22:08:10.60" personId="{17068419-0711-49CE-BF4D-5B00CA7C4D6E}" id="{F030A919-0499-4249-B4A3-3DC043CCB330}">
    <text>In July, Jacuipe's, Sussuarana's and Riacho de São Pedro's production started being accounted in the Remanso Cluster</text>
  </threadedComment>
  <threadedComment ref="DO18" dT="2025-08-07T22:09:15.69" personId="{17068419-0711-49CE-BF4D-5B00CA7C4D6E}" id="{7365A2C8-A18E-4BCC-A368-5DB188DEB05F}">
    <text>From July on, Jacuípe's, Sussuarana's and Riacho de São Pedro's productions were moved from the Miranga cluster to the Remanso Cluster</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www.eia.gov/dnav/pet/hist/LeafHandler.ashx?n=PET&amp;s=RBRTE&amp;f=M" TargetMode="External"/><Relationship Id="rId1" Type="http://schemas.openxmlformats.org/officeDocument/2006/relationships/hyperlink" Target="https://www.theice.com/marketdata/reports/10"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4.xml"/><Relationship Id="rId1" Type="http://schemas.openxmlformats.org/officeDocument/2006/relationships/printerSettings" Target="../printerSettings/printerSettings14.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03B52E-889A-463B-B09C-D9CD78A9A038}">
  <dimension ref="A1:X42"/>
  <sheetViews>
    <sheetView showGridLines="0" tabSelected="1" zoomScaleNormal="100" workbookViewId="0"/>
  </sheetViews>
  <sheetFormatPr defaultColWidth="0" defaultRowHeight="15" customHeight="1" zeroHeight="1"/>
  <cols>
    <col min="1" max="1" width="9.1796875" customWidth="1"/>
    <col min="2" max="2" width="11.453125" customWidth="1"/>
    <col min="3" max="3" width="5" customWidth="1"/>
    <col min="4" max="4" width="71.54296875" bestFit="1" customWidth="1"/>
    <col min="5" max="9" width="9.1796875" customWidth="1"/>
    <col min="10" max="10" width="9.1796875" hidden="1" customWidth="1"/>
    <col min="11" max="24" width="0" hidden="1" customWidth="1"/>
    <col min="25" max="16384" width="9.1796875" hidden="1"/>
  </cols>
  <sheetData>
    <row r="1" spans="1:16" ht="14.5"/>
    <row r="2" spans="1:16" ht="14.5"/>
    <row r="3" spans="1:16" ht="28.5">
      <c r="C3" s="20"/>
      <c r="D3" s="150" t="s">
        <v>683</v>
      </c>
      <c r="F3" s="21"/>
      <c r="G3" s="21"/>
    </row>
    <row r="4" spans="1:16" ht="14.5"/>
    <row r="5" spans="1:16" ht="14.5">
      <c r="D5" s="21"/>
      <c r="E5" s="21"/>
      <c r="F5" s="21"/>
      <c r="G5" s="21"/>
      <c r="H5" s="21"/>
      <c r="I5" s="21"/>
      <c r="J5" s="21"/>
      <c r="K5" s="21"/>
      <c r="L5" s="21"/>
      <c r="M5" s="21"/>
      <c r="N5" s="21"/>
      <c r="O5" s="21"/>
      <c r="P5" s="21"/>
    </row>
    <row r="6" spans="1:16" ht="14.5"/>
    <row r="7" spans="1:16" ht="18.5">
      <c r="C7" s="147" t="s">
        <v>837</v>
      </c>
    </row>
    <row r="8" spans="1:16" ht="14.5">
      <c r="A8" s="175"/>
      <c r="B8" s="175"/>
      <c r="C8" s="175"/>
      <c r="D8" s="176" t="s">
        <v>838</v>
      </c>
      <c r="E8" s="175"/>
    </row>
    <row r="9" spans="1:16" ht="14.5">
      <c r="A9" s="175"/>
      <c r="B9" s="175"/>
      <c r="C9" s="175"/>
      <c r="D9" s="176" t="s">
        <v>839</v>
      </c>
      <c r="E9" s="175"/>
    </row>
    <row r="10" spans="1:16" ht="14.5">
      <c r="A10" s="175"/>
      <c r="B10" s="175"/>
      <c r="C10" s="175"/>
      <c r="D10" s="176" t="s">
        <v>840</v>
      </c>
      <c r="E10" s="175"/>
    </row>
    <row r="11" spans="1:16" ht="14.5">
      <c r="A11" s="175"/>
      <c r="B11" s="175"/>
      <c r="C11" s="175"/>
      <c r="D11" s="176" t="s">
        <v>841</v>
      </c>
      <c r="E11" s="175"/>
    </row>
    <row r="12" spans="1:16" ht="14.5">
      <c r="A12" s="175"/>
      <c r="B12" s="175"/>
      <c r="C12" s="175"/>
      <c r="D12" s="176" t="s">
        <v>1059</v>
      </c>
      <c r="E12" s="175"/>
    </row>
    <row r="13" spans="1:16" ht="14.5">
      <c r="A13" s="175"/>
      <c r="B13" s="175"/>
      <c r="C13" s="175"/>
      <c r="D13" s="175"/>
      <c r="E13" s="175"/>
    </row>
    <row r="14" spans="1:16" ht="18.5">
      <c r="A14" s="175"/>
      <c r="B14" s="175"/>
      <c r="C14" s="177" t="s">
        <v>842</v>
      </c>
      <c r="D14" s="175"/>
      <c r="E14" s="175"/>
    </row>
    <row r="15" spans="1:16" ht="14.5">
      <c r="A15" s="175"/>
      <c r="B15" s="175"/>
      <c r="C15" s="175"/>
      <c r="D15" s="176" t="s">
        <v>843</v>
      </c>
      <c r="E15" s="175"/>
    </row>
    <row r="16" spans="1:16" ht="14.25" customHeight="1">
      <c r="A16" s="175"/>
      <c r="B16" s="175"/>
      <c r="C16" s="175"/>
      <c r="D16" s="176" t="s">
        <v>844</v>
      </c>
      <c r="E16" s="175"/>
    </row>
    <row r="17" spans="1:5" ht="14.5">
      <c r="A17" s="175"/>
      <c r="B17" s="175"/>
      <c r="C17" s="175"/>
      <c r="D17" s="176" t="s">
        <v>845</v>
      </c>
      <c r="E17" s="175"/>
    </row>
    <row r="18" spans="1:5" ht="14.5">
      <c r="A18" s="175"/>
      <c r="B18" s="175"/>
      <c r="C18" s="175"/>
      <c r="D18" s="176" t="s">
        <v>933</v>
      </c>
      <c r="E18" s="175"/>
    </row>
    <row r="19" spans="1:5" ht="14.5">
      <c r="A19" s="175"/>
      <c r="B19" s="175"/>
      <c r="C19" s="175"/>
      <c r="D19" s="176" t="s">
        <v>846</v>
      </c>
      <c r="E19" s="175"/>
    </row>
    <row r="20" spans="1:5" ht="14.5">
      <c r="A20" s="175"/>
      <c r="B20" s="175"/>
      <c r="C20" s="175"/>
      <c r="D20" s="222" t="s">
        <v>964</v>
      </c>
      <c r="E20" s="175"/>
    </row>
    <row r="21" spans="1:5" ht="14.5">
      <c r="A21" s="175"/>
      <c r="B21" s="175"/>
      <c r="C21" s="175"/>
      <c r="D21" s="176" t="s">
        <v>1030</v>
      </c>
      <c r="E21" s="175"/>
    </row>
    <row r="22" spans="1:5" ht="14.5">
      <c r="A22" s="175"/>
      <c r="B22" s="175"/>
      <c r="C22" s="175"/>
      <c r="D22" s="175"/>
      <c r="E22" s="175"/>
    </row>
    <row r="23" spans="1:5" ht="18.5">
      <c r="A23" s="175"/>
      <c r="B23" s="175"/>
      <c r="C23" s="177" t="s">
        <v>847</v>
      </c>
      <c r="D23" s="175"/>
      <c r="E23" s="175"/>
    </row>
    <row r="24" spans="1:5" ht="18.5">
      <c r="A24" s="175"/>
      <c r="B24" s="175"/>
      <c r="C24" s="177"/>
      <c r="D24" s="176" t="s">
        <v>848</v>
      </c>
      <c r="E24" s="175"/>
    </row>
    <row r="25" spans="1:5" ht="14.5">
      <c r="A25" s="175"/>
      <c r="B25" s="175"/>
      <c r="C25" s="175"/>
      <c r="D25" s="175"/>
      <c r="E25" s="175"/>
    </row>
    <row r="26" spans="1:5" ht="18.5">
      <c r="A26" s="175"/>
      <c r="B26" s="175"/>
      <c r="C26" s="177" t="s">
        <v>1146</v>
      </c>
      <c r="D26" s="175"/>
      <c r="E26" s="175"/>
    </row>
    <row r="27" spans="1:5" ht="14.5">
      <c r="A27" s="175"/>
      <c r="B27" s="175"/>
      <c r="C27" s="175"/>
      <c r="D27" s="176" t="s">
        <v>849</v>
      </c>
      <c r="E27" s="175"/>
    </row>
    <row r="28" spans="1:5" ht="14.5">
      <c r="A28" s="175"/>
      <c r="B28" s="175"/>
      <c r="C28" s="175"/>
      <c r="D28" s="176" t="s">
        <v>1048</v>
      </c>
      <c r="E28" s="175"/>
    </row>
    <row r="29" spans="1:5" ht="14.5">
      <c r="A29" s="175"/>
      <c r="B29" s="175"/>
      <c r="C29" s="175"/>
      <c r="D29" s="176" t="s">
        <v>850</v>
      </c>
      <c r="E29" s="175"/>
    </row>
    <row r="30" spans="1:5" ht="14.5">
      <c r="A30" s="175"/>
      <c r="B30" s="175"/>
      <c r="C30" s="175"/>
      <c r="D30" s="176" t="s">
        <v>1202</v>
      </c>
      <c r="E30" s="175"/>
    </row>
    <row r="31" spans="1:5" ht="14.5">
      <c r="A31" s="175"/>
      <c r="B31" s="175"/>
      <c r="C31" s="175"/>
      <c r="E31" s="175"/>
    </row>
    <row r="32" spans="1:5" ht="14.5">
      <c r="A32" s="175"/>
      <c r="B32" s="175"/>
      <c r="C32" s="175"/>
      <c r="D32" s="175"/>
      <c r="E32" s="175"/>
    </row>
    <row r="33" spans="1:5" ht="14.5">
      <c r="A33" s="175"/>
      <c r="B33" s="175"/>
      <c r="C33" s="175"/>
      <c r="D33" s="175"/>
      <c r="E33" s="175"/>
    </row>
    <row r="34" spans="1:5" ht="14.5"/>
    <row r="35" spans="1:5" ht="15" customHeight="1"/>
    <row r="38" spans="1:5" ht="14.5"/>
    <row r="39" spans="1:5" ht="14.5"/>
    <row r="40" spans="1:5" ht="14.5"/>
    <row r="41" spans="1:5" ht="14.5"/>
    <row r="42" spans="1:5" ht="15" customHeight="1"/>
  </sheetData>
  <hyperlinks>
    <hyperlink ref="D8" location="'Balanço Patrimonial'!A1" display="1.1. Balanço Patrimonial | Balance Sheet" xr:uid="{BF73E10C-045C-4744-A5DE-C218F330B5B4}"/>
    <hyperlink ref="D9" location="'DRE (resumida)'!A1" display="1.2. Demonstração de Resultados (Resumida) |  Income Statement (Summary)" xr:uid="{DF9EB6F7-56CC-4137-B88F-759448F2A79A}"/>
    <hyperlink ref="D10" location="'DRE (detalhada)'!A1" display="1.3. Demonstração de Resultados (Detalhada) |  Income Statement (Detailed)" xr:uid="{0AD30623-6D4C-42FA-8AC5-E813B7697F4C}"/>
    <hyperlink ref="D11" location="'Fluxo de Caixa'!A1" display="1.4. Fluxo de Caixa | Cash Flow" xr:uid="{6330CF92-C68B-4934-AC1C-878A25003D02}"/>
    <hyperlink ref="D15" location="Realização!A1" display="2.1 Preço de Realização | Realization Price" xr:uid="{54769A6A-03D7-4D70-AE32-E6170BABFF8D}"/>
    <hyperlink ref="D16" location="'Lifting Cost'!A1" display="2.2. Custo Operacional | Lifting Cost" xr:uid="{51CE99CC-9A7F-4FA6-8CD0-DE917978FA43}"/>
    <hyperlink ref="D17" location="'Referências de Preço Petróleo'!A1" display="2.3. Referências de Preço de Petróleo | Oil Price Reference " xr:uid="{BE2566DC-0666-49DD-A430-CE6AFE902B6C}"/>
    <hyperlink ref="D18" location="Impostos!A1" display="2.4. Impostos sobre a Receita  | Revenue Taxes" xr:uid="{157081C7-9BC3-4C83-AB9D-FED8D76D8A68}"/>
    <hyperlink ref="D19" location="'QDC  Gás '!A1" display="2.5. Contratos Firmes Gás Seco | Dry Gas Firm Contracts" xr:uid="{9398D7C1-AFB1-4836-B107-304AB8A2AF45}"/>
    <hyperlink ref="D24" location="'Produção WI'!A1" display="3.1. Produção de Titularidade da Companhia | Working Interest Production" xr:uid="{1A084FB6-F0C8-4445-82BE-AC6993CF69B3}"/>
    <hyperlink ref="D27" location="'Certificação de Reservas'!A1" display="4.1. Reservas de Participação Bruta | Gross Working Interest Reserves" xr:uid="{CF6E5C07-9C63-4D93-81CD-4DEF33ACC214}"/>
    <hyperlink ref="D28" location="Receita!A1" display="4.2. Receita Bruta e Líquida por Produto | Gross and Net Revenue by Product" xr:uid="{3E33F08D-763F-4D34-BAB6-BAB84A5322C8}"/>
    <hyperlink ref="D29" location="Custos!A1" display="4.3. Deduções e Despesas Líquidas | Deductions and Net Expenses" xr:uid="{A96FA8D8-2C23-4440-8B55-C1C746078AFB}"/>
    <hyperlink ref="D30" location="Capex!A1" display="4.5. Capex por Ativo | Capex by Asset" xr:uid="{EDE2AA3D-384F-47DB-AEFF-697F4B0FB2B0}"/>
    <hyperlink ref="D12" location="'Imob e Intang'!A1" display="1.5. Capex 2023 | Ativo Imobilizado e Intangível" xr:uid="{AC7B32CA-639A-4465-B022-757A3A2E5AF9}"/>
    <hyperlink ref="D20" location="'Tabela de Conversão'!A1" display="2.6. Tabela de Conversão | Conversion Table" xr:uid="{17B7CC68-1490-41D1-9533-7BF95A18FAB4}"/>
    <hyperlink ref="D21" location="Hedge!A1" display="2.6. Histórico de Hedge | Hedge History" xr:uid="{0D47617F-ACD5-44B4-9EDF-DAF8209C8703}"/>
  </hyperlinks>
  <pageMargins left="0.511811024" right="0.511811024" top="0.78740157499999996" bottom="0.78740157499999996" header="0.31496062000000002" footer="0.31496062000000002"/>
  <pageSetup paperSize="9"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AD7C8-0471-4D11-AF9E-1560D486F0C9}">
  <dimension ref="B1:AD90"/>
  <sheetViews>
    <sheetView showGridLines="0" zoomScaleNormal="100" workbookViewId="0">
      <pane xSplit="4" ySplit="4" topLeftCell="AC5" activePane="bottomRight" state="frozen"/>
      <selection activeCell="B30" sqref="B30"/>
      <selection pane="topRight" activeCell="B30" sqref="B30"/>
      <selection pane="bottomLeft" activeCell="B30" sqref="B30"/>
      <selection pane="bottomRight" activeCell="AD24" sqref="AD24"/>
    </sheetView>
  </sheetViews>
  <sheetFormatPr defaultColWidth="9.1796875" defaultRowHeight="13" outlineLevelCol="1"/>
  <cols>
    <col min="1" max="1" width="3" style="3" customWidth="1"/>
    <col min="2" max="2" width="39.453125" style="3" customWidth="1"/>
    <col min="3" max="3" width="1.453125" style="3" customWidth="1"/>
    <col min="4" max="4" width="30.81640625" style="3" customWidth="1"/>
    <col min="5" max="5" width="1.453125" style="3" customWidth="1"/>
    <col min="6" max="6" width="12" style="3" bestFit="1" customWidth="1"/>
    <col min="7" max="7" width="12.7265625" style="3" bestFit="1" customWidth="1"/>
    <col min="8" max="8" width="13.453125" style="3" customWidth="1"/>
    <col min="9" max="11" width="12.7265625" style="3" hidden="1" customWidth="1" outlineLevel="1"/>
    <col min="12" max="12" width="12.7265625" style="3" customWidth="1" collapsed="1"/>
    <col min="13" max="15" width="12.7265625" style="3" hidden="1" customWidth="1" outlineLevel="1"/>
    <col min="16" max="16" width="12.7265625" style="3" customWidth="1" collapsed="1"/>
    <col min="17" max="19" width="12.7265625" style="3" hidden="1" customWidth="1" outlineLevel="1"/>
    <col min="20" max="20" width="12.7265625" style="3" customWidth="1" collapsed="1"/>
    <col min="21" max="21" width="12.7265625" style="3" customWidth="1" outlineLevel="1"/>
    <col min="22" max="23" width="13" style="3" customWidth="1" outlineLevel="1"/>
    <col min="24" max="30" width="13" style="3" customWidth="1"/>
    <col min="31" max="16384" width="9.1796875" style="3"/>
  </cols>
  <sheetData>
    <row r="1" spans="2:30">
      <c r="G1" s="18"/>
      <c r="I1" s="18"/>
      <c r="J1" s="18"/>
      <c r="K1" s="18"/>
      <c r="L1" s="18"/>
      <c r="M1" s="18"/>
      <c r="N1" s="18"/>
      <c r="O1" s="18"/>
      <c r="P1" s="18"/>
      <c r="Q1" s="18"/>
      <c r="R1" s="18"/>
      <c r="S1" s="18"/>
      <c r="T1" s="18"/>
      <c r="U1" s="18"/>
      <c r="V1" s="18"/>
      <c r="W1" s="18"/>
      <c r="X1" s="18"/>
    </row>
    <row r="2" spans="2:30" ht="18.5">
      <c r="B2" s="12"/>
      <c r="D2" s="147" t="s">
        <v>589</v>
      </c>
      <c r="G2" s="18"/>
      <c r="H2" s="18"/>
      <c r="I2" s="18"/>
      <c r="J2" s="18"/>
      <c r="K2" s="18"/>
      <c r="L2" s="18"/>
      <c r="M2" s="18"/>
      <c r="N2" s="18"/>
      <c r="O2" s="18"/>
      <c r="P2" s="18"/>
      <c r="Q2" s="18"/>
      <c r="R2" s="18"/>
      <c r="S2" s="18"/>
      <c r="T2" s="18"/>
      <c r="U2" s="18"/>
      <c r="V2" s="18"/>
      <c r="W2" s="18"/>
      <c r="X2" s="18"/>
    </row>
    <row r="3" spans="2:30">
      <c r="H3" s="3">
        <v>2020</v>
      </c>
      <c r="I3" s="3" t="s">
        <v>1182</v>
      </c>
      <c r="J3" s="3" t="s">
        <v>1183</v>
      </c>
      <c r="K3" s="3" t="s">
        <v>1184</v>
      </c>
      <c r="L3" s="3" t="s">
        <v>1186</v>
      </c>
      <c r="M3" s="3" t="s">
        <v>881</v>
      </c>
      <c r="N3" s="3" t="s">
        <v>882</v>
      </c>
      <c r="O3" s="3" t="s">
        <v>762</v>
      </c>
      <c r="P3" s="3" t="s">
        <v>804</v>
      </c>
      <c r="Q3" s="3" t="s">
        <v>883</v>
      </c>
      <c r="R3" s="3" t="s">
        <v>884</v>
      </c>
      <c r="S3" s="3" t="s">
        <v>947</v>
      </c>
      <c r="T3" s="3" t="s">
        <v>992</v>
      </c>
      <c r="U3" s="3" t="s">
        <v>1004</v>
      </c>
      <c r="V3" s="3" t="s">
        <v>1005</v>
      </c>
      <c r="W3" s="3" t="s">
        <v>1006</v>
      </c>
      <c r="X3" s="3" t="s">
        <v>1187</v>
      </c>
      <c r="Y3" s="3" t="s">
        <v>1008</v>
      </c>
      <c r="Z3" s="3" t="s">
        <v>1067</v>
      </c>
      <c r="AA3" s="3" t="s">
        <v>1068</v>
      </c>
    </row>
    <row r="4" spans="2:30" ht="16">
      <c r="B4" s="23" t="s">
        <v>25</v>
      </c>
      <c r="C4" s="1"/>
      <c r="D4" s="23" t="s">
        <v>587</v>
      </c>
      <c r="E4" s="1"/>
      <c r="F4" s="2">
        <v>2018</v>
      </c>
      <c r="G4" s="2">
        <v>2019</v>
      </c>
      <c r="H4" s="2">
        <v>2020</v>
      </c>
      <c r="I4" s="148" t="s">
        <v>590</v>
      </c>
      <c r="J4" s="22" t="s">
        <v>591</v>
      </c>
      <c r="K4" s="22" t="s">
        <v>592</v>
      </c>
      <c r="L4" s="2">
        <v>2021</v>
      </c>
      <c r="M4" s="49" t="s">
        <v>593</v>
      </c>
      <c r="N4" s="49" t="s">
        <v>731</v>
      </c>
      <c r="O4" s="49" t="s">
        <v>755</v>
      </c>
      <c r="P4" s="49">
        <v>2022</v>
      </c>
      <c r="Q4" s="49" t="s">
        <v>813</v>
      </c>
      <c r="R4" s="22" t="s">
        <v>859</v>
      </c>
      <c r="S4" s="22" t="s">
        <v>934</v>
      </c>
      <c r="T4" s="49">
        <v>2023</v>
      </c>
      <c r="U4" s="22" t="s">
        <v>1051</v>
      </c>
      <c r="V4" s="22" t="str">
        <f>'DRE (detalhada)'!AE4</f>
        <v>2T24 / 2Q24</v>
      </c>
      <c r="W4" s="22" t="str">
        <f>'DRE (detalhada)'!AG4</f>
        <v>3T24 / 3Q24</v>
      </c>
      <c r="X4" s="22">
        <f>'DRE (detalhada)'!AJ4</f>
        <v>2024</v>
      </c>
      <c r="Y4" s="22" t="s">
        <v>1008</v>
      </c>
      <c r="Z4" s="22" t="s">
        <v>1067</v>
      </c>
      <c r="AA4" s="22" t="s">
        <v>1068</v>
      </c>
      <c r="AB4" s="22">
        <v>2025</v>
      </c>
      <c r="AC4" s="22" t="s">
        <v>1066</v>
      </c>
      <c r="AD4" s="22" t="s">
        <v>1242</v>
      </c>
    </row>
    <row r="5" spans="2:30" ht="6.75" customHeight="1">
      <c r="B5" s="1"/>
      <c r="C5" s="1"/>
      <c r="D5" s="1"/>
      <c r="E5" s="1"/>
      <c r="F5" s="4"/>
      <c r="G5" s="4"/>
      <c r="H5" s="4"/>
      <c r="I5" s="4"/>
      <c r="J5" s="4"/>
      <c r="K5" s="4"/>
      <c r="L5" s="4"/>
      <c r="M5" s="4"/>
      <c r="N5" s="4"/>
      <c r="O5" s="4"/>
      <c r="P5" s="4"/>
      <c r="Q5" s="4"/>
      <c r="R5" s="4"/>
      <c r="S5" s="4"/>
      <c r="T5" s="4"/>
      <c r="U5" s="4"/>
      <c r="V5" s="4"/>
      <c r="W5" s="4"/>
      <c r="X5" s="4"/>
      <c r="Y5" s="4"/>
      <c r="Z5" s="4"/>
      <c r="AA5" s="4"/>
      <c r="AB5" s="4"/>
      <c r="AC5" s="4"/>
      <c r="AD5" s="4"/>
    </row>
    <row r="6" spans="2:30" ht="14.5">
      <c r="B6" s="39" t="s">
        <v>67</v>
      </c>
      <c r="C6" s="32"/>
      <c r="D6" s="39" t="s">
        <v>588</v>
      </c>
      <c r="E6" s="29"/>
      <c r="F6" s="32"/>
      <c r="G6" s="32"/>
      <c r="H6" s="32"/>
      <c r="I6" s="32"/>
      <c r="J6" s="32"/>
      <c r="K6" s="32"/>
      <c r="L6" s="32"/>
      <c r="M6" s="146"/>
      <c r="N6" s="146"/>
      <c r="O6" s="146"/>
      <c r="P6" s="146"/>
      <c r="Q6" s="146"/>
      <c r="R6" s="146"/>
      <c r="S6" s="146"/>
      <c r="T6" s="146"/>
      <c r="U6" s="146"/>
      <c r="V6" s="146"/>
      <c r="W6" s="146"/>
      <c r="X6" s="146"/>
      <c r="Y6" s="146"/>
      <c r="Z6" s="146"/>
      <c r="AA6" s="146"/>
      <c r="AB6" s="146"/>
      <c r="AC6" s="146"/>
      <c r="AD6" s="146"/>
    </row>
    <row r="7" spans="2:30" ht="6.75" customHeight="1">
      <c r="F7" s="5"/>
      <c r="G7" s="5"/>
      <c r="H7" s="6"/>
      <c r="I7" s="6"/>
      <c r="J7" s="6"/>
      <c r="K7" s="6"/>
      <c r="L7" s="6"/>
      <c r="M7" s="6"/>
      <c r="N7" s="6"/>
      <c r="O7" s="6"/>
      <c r="P7" s="6"/>
      <c r="Q7" s="6"/>
      <c r="R7" s="6"/>
      <c r="S7" s="6"/>
      <c r="T7" s="6"/>
      <c r="U7" s="6"/>
      <c r="V7" s="6"/>
      <c r="W7" s="6"/>
      <c r="X7" s="6"/>
      <c r="Y7" s="6"/>
      <c r="Z7" s="6"/>
      <c r="AA7" s="6"/>
      <c r="AB7" s="6"/>
      <c r="AC7" s="6"/>
      <c r="AD7" s="6"/>
    </row>
    <row r="8" spans="2:30">
      <c r="B8" s="7" t="s">
        <v>68</v>
      </c>
      <c r="C8" s="1"/>
      <c r="D8" s="7" t="s">
        <v>688</v>
      </c>
      <c r="E8" s="1"/>
      <c r="F8" s="8"/>
      <c r="G8" s="8"/>
      <c r="H8" s="8"/>
      <c r="I8" s="8"/>
      <c r="J8" s="8"/>
      <c r="K8" s="8"/>
      <c r="L8" s="8"/>
      <c r="M8" s="8"/>
      <c r="N8" s="8"/>
      <c r="O8" s="8"/>
      <c r="P8" s="8"/>
      <c r="Q8" s="8"/>
      <c r="R8" s="8"/>
      <c r="S8" s="8"/>
      <c r="T8" s="8"/>
      <c r="U8" s="8"/>
      <c r="V8" s="8"/>
      <c r="W8" s="8"/>
      <c r="X8" s="8"/>
      <c r="Y8" s="8"/>
      <c r="Z8" s="8"/>
      <c r="AA8" s="8"/>
      <c r="AB8" s="8"/>
      <c r="AC8" s="8"/>
      <c r="AD8" s="8"/>
    </row>
    <row r="9" spans="2:30">
      <c r="B9" s="3" t="s">
        <v>0</v>
      </c>
      <c r="C9" s="1"/>
      <c r="D9" s="3" t="s">
        <v>594</v>
      </c>
      <c r="E9" s="1"/>
      <c r="F9" s="13">
        <v>20027</v>
      </c>
      <c r="G9" s="13">
        <v>56265</v>
      </c>
      <c r="H9" s="13">
        <v>30861</v>
      </c>
      <c r="I9" s="13">
        <v>44045</v>
      </c>
      <c r="J9" s="13">
        <v>268955</v>
      </c>
      <c r="K9" s="13">
        <v>392406</v>
      </c>
      <c r="L9" s="13">
        <v>217159</v>
      </c>
      <c r="M9" s="13">
        <v>156467</v>
      </c>
      <c r="N9" s="13">
        <v>244999</v>
      </c>
      <c r="O9" s="13">
        <v>504667</v>
      </c>
      <c r="P9" s="13">
        <v>361028</v>
      </c>
      <c r="Q9" s="13">
        <v>205972</v>
      </c>
      <c r="R9" s="13">
        <v>89760</v>
      </c>
      <c r="S9" s="13">
        <v>78480</v>
      </c>
      <c r="T9" s="13">
        <v>197184</v>
      </c>
      <c r="U9" s="13">
        <v>302149</v>
      </c>
      <c r="V9" s="13">
        <v>411015</v>
      </c>
      <c r="W9" s="13">
        <v>420687</v>
      </c>
      <c r="X9" s="13">
        <v>295548</v>
      </c>
      <c r="Y9" s="13">
        <v>315621</v>
      </c>
      <c r="Z9" s="13">
        <v>222608</v>
      </c>
      <c r="AA9" s="13">
        <v>277772</v>
      </c>
      <c r="AB9" s="13">
        <v>229508</v>
      </c>
      <c r="AC9" s="13">
        <v>272554</v>
      </c>
      <c r="AD9" s="13">
        <v>320992</v>
      </c>
    </row>
    <row r="10" spans="2:30">
      <c r="B10" s="3" t="s">
        <v>1</v>
      </c>
      <c r="C10" s="1"/>
      <c r="D10" s="3" t="s">
        <v>689</v>
      </c>
      <c r="E10" s="1"/>
      <c r="F10" s="13">
        <v>0</v>
      </c>
      <c r="G10" s="13">
        <v>45</v>
      </c>
      <c r="H10" s="13">
        <v>66414</v>
      </c>
      <c r="I10" s="13">
        <v>58537</v>
      </c>
      <c r="J10" s="13">
        <v>941890</v>
      </c>
      <c r="K10" s="13">
        <v>764069</v>
      </c>
      <c r="L10" s="13">
        <v>585655</v>
      </c>
      <c r="M10" s="13">
        <v>514353</v>
      </c>
      <c r="N10" s="13">
        <v>1399969</v>
      </c>
      <c r="O10" s="13">
        <v>1388589</v>
      </c>
      <c r="P10" s="13">
        <v>1250163</v>
      </c>
      <c r="Q10" s="13">
        <v>721065</v>
      </c>
      <c r="R10" s="13">
        <v>695724</v>
      </c>
      <c r="S10" s="13">
        <v>642415</v>
      </c>
      <c r="T10" s="13">
        <v>310172</v>
      </c>
      <c r="U10" s="13">
        <v>384688</v>
      </c>
      <c r="V10" s="13">
        <v>1215647</v>
      </c>
      <c r="W10" s="13">
        <v>1079673</v>
      </c>
      <c r="X10" s="13">
        <v>761939</v>
      </c>
      <c r="Y10" s="13">
        <v>702215</v>
      </c>
      <c r="Z10" s="13">
        <v>428940</v>
      </c>
      <c r="AA10" s="13">
        <v>655943</v>
      </c>
      <c r="AB10" s="13">
        <v>1395510</v>
      </c>
      <c r="AC10" s="13">
        <v>1384761</v>
      </c>
      <c r="AD10" s="13">
        <v>1299125</v>
      </c>
    </row>
    <row r="11" spans="2:30">
      <c r="B11" s="3" t="s">
        <v>2</v>
      </c>
      <c r="C11" s="1"/>
      <c r="D11" s="3" t="s">
        <v>690</v>
      </c>
      <c r="E11" s="1"/>
      <c r="F11" s="13">
        <v>38259</v>
      </c>
      <c r="G11" s="13">
        <v>78610</v>
      </c>
      <c r="H11" s="13">
        <v>108733</v>
      </c>
      <c r="I11" s="13">
        <v>145122</v>
      </c>
      <c r="J11" s="13">
        <v>133067</v>
      </c>
      <c r="K11" s="13">
        <v>165001</v>
      </c>
      <c r="L11" s="13">
        <v>169847</v>
      </c>
      <c r="M11" s="13">
        <v>452538</v>
      </c>
      <c r="N11" s="13">
        <v>442584</v>
      </c>
      <c r="O11" s="13">
        <v>397043</v>
      </c>
      <c r="P11" s="13">
        <v>384180</v>
      </c>
      <c r="Q11" s="13">
        <v>364778</v>
      </c>
      <c r="R11" s="13">
        <v>300529</v>
      </c>
      <c r="S11" s="13">
        <v>348729</v>
      </c>
      <c r="T11" s="13">
        <v>360611</v>
      </c>
      <c r="U11" s="13">
        <v>349761</v>
      </c>
      <c r="V11" s="13">
        <v>377218</v>
      </c>
      <c r="W11" s="13">
        <v>362540</v>
      </c>
      <c r="X11" s="13">
        <v>361095</v>
      </c>
      <c r="Y11" s="13">
        <v>355003</v>
      </c>
      <c r="Z11" s="13">
        <v>329825</v>
      </c>
      <c r="AA11" s="13">
        <v>303528</v>
      </c>
      <c r="AB11" s="13">
        <v>253967</v>
      </c>
      <c r="AC11" s="13">
        <v>315232</v>
      </c>
      <c r="AD11" s="13">
        <v>327052</v>
      </c>
    </row>
    <row r="12" spans="2:30">
      <c r="B12" s="3" t="s">
        <v>3</v>
      </c>
      <c r="C12" s="1"/>
      <c r="D12" s="3" t="s">
        <v>691</v>
      </c>
      <c r="E12" s="1"/>
      <c r="F12" s="13">
        <v>100</v>
      </c>
      <c r="G12" s="13">
        <v>480</v>
      </c>
      <c r="H12" s="13">
        <v>1211</v>
      </c>
      <c r="I12" s="13">
        <v>1261</v>
      </c>
      <c r="J12" s="13">
        <v>869</v>
      </c>
      <c r="K12" s="13">
        <v>1011</v>
      </c>
      <c r="L12" s="13">
        <v>6552</v>
      </c>
      <c r="M12" s="13">
        <v>8992</v>
      </c>
      <c r="N12" s="13">
        <v>8125</v>
      </c>
      <c r="O12" s="13">
        <v>6840</v>
      </c>
      <c r="P12" s="13">
        <v>11451</v>
      </c>
      <c r="Q12" s="13">
        <v>4857</v>
      </c>
      <c r="R12" s="13">
        <v>7376</v>
      </c>
      <c r="S12" s="13">
        <v>24717</v>
      </c>
      <c r="T12" s="13">
        <v>7358</v>
      </c>
      <c r="U12" s="13">
        <v>9436</v>
      </c>
      <c r="V12" s="13">
        <v>7793</v>
      </c>
      <c r="W12" s="13">
        <v>8293</v>
      </c>
      <c r="X12" s="13">
        <v>9766</v>
      </c>
      <c r="Y12" s="13">
        <v>19734</v>
      </c>
      <c r="Z12" s="13">
        <v>14824</v>
      </c>
      <c r="AA12" s="13">
        <v>9504</v>
      </c>
      <c r="AB12" s="13">
        <v>6139</v>
      </c>
      <c r="AC12" s="13">
        <v>8899</v>
      </c>
      <c r="AD12" s="13">
        <v>5651</v>
      </c>
    </row>
    <row r="13" spans="2:30">
      <c r="B13" s="3" t="s">
        <v>966</v>
      </c>
      <c r="C13" s="1"/>
      <c r="D13" s="3" t="s">
        <v>692</v>
      </c>
      <c r="E13" s="1"/>
      <c r="F13" s="13">
        <v>20033</v>
      </c>
      <c r="G13" s="13">
        <v>14775</v>
      </c>
      <c r="H13" s="13">
        <v>22433</v>
      </c>
      <c r="I13" s="13">
        <v>27587</v>
      </c>
      <c r="J13" s="13">
        <v>25707</v>
      </c>
      <c r="K13" s="13">
        <v>46645</v>
      </c>
      <c r="L13" s="13">
        <v>41825</v>
      </c>
      <c r="M13" s="13">
        <v>34823</v>
      </c>
      <c r="N13" s="13">
        <v>55957</v>
      </c>
      <c r="O13" s="13">
        <v>70151</v>
      </c>
      <c r="P13" s="13">
        <v>99243</v>
      </c>
      <c r="Q13" s="13">
        <v>128600</v>
      </c>
      <c r="R13" s="13">
        <v>129294</v>
      </c>
      <c r="S13" s="13">
        <v>166507</v>
      </c>
      <c r="T13" s="13">
        <v>233927</v>
      </c>
      <c r="U13" s="13">
        <v>144792</v>
      </c>
      <c r="V13" s="13">
        <v>79445</v>
      </c>
      <c r="W13" s="13">
        <v>83339</v>
      </c>
      <c r="X13" s="13">
        <v>96616</v>
      </c>
      <c r="Y13" s="13">
        <v>100087</v>
      </c>
      <c r="Z13" s="13">
        <v>89363</v>
      </c>
      <c r="AA13" s="13">
        <v>96572</v>
      </c>
      <c r="AB13" s="13">
        <v>146817</v>
      </c>
      <c r="AC13" s="13">
        <v>105884</v>
      </c>
      <c r="AD13" s="13">
        <v>81785</v>
      </c>
    </row>
    <row r="14" spans="2:30">
      <c r="B14" s="3" t="s">
        <v>1003</v>
      </c>
      <c r="C14" s="1"/>
      <c r="D14" s="3" t="s">
        <v>1222</v>
      </c>
      <c r="E14" s="1"/>
      <c r="F14" s="13"/>
      <c r="G14" s="13"/>
      <c r="H14" s="13"/>
      <c r="I14" s="13"/>
      <c r="J14" s="13"/>
      <c r="K14" s="13"/>
      <c r="L14" s="13"/>
      <c r="M14" s="13"/>
      <c r="N14" s="13"/>
      <c r="O14" s="13"/>
      <c r="P14" s="13"/>
      <c r="Q14" s="13"/>
      <c r="R14" s="13"/>
      <c r="S14" s="13"/>
      <c r="T14" s="13"/>
      <c r="U14" s="13"/>
      <c r="V14" s="13"/>
      <c r="W14" s="13"/>
      <c r="X14" s="13"/>
      <c r="Y14" s="13"/>
      <c r="Z14" s="13"/>
      <c r="AA14" s="13"/>
      <c r="AB14" s="13"/>
      <c r="AC14" s="13">
        <v>51264</v>
      </c>
      <c r="AD14" s="13">
        <v>56296</v>
      </c>
    </row>
    <row r="15" spans="2:30">
      <c r="B15" s="3" t="s">
        <v>15</v>
      </c>
      <c r="C15" s="1"/>
      <c r="D15" s="3" t="s">
        <v>693</v>
      </c>
      <c r="E15" s="1"/>
      <c r="F15" s="13">
        <v>0</v>
      </c>
      <c r="G15" s="13">
        <v>692.99999999989313</v>
      </c>
      <c r="H15" s="13">
        <v>80506</v>
      </c>
      <c r="I15" s="13">
        <v>2173</v>
      </c>
      <c r="J15" s="13">
        <v>0</v>
      </c>
      <c r="K15" s="13">
        <v>0</v>
      </c>
      <c r="L15" s="13">
        <v>0</v>
      </c>
      <c r="M15" s="13">
        <v>0</v>
      </c>
      <c r="N15" s="13">
        <v>0</v>
      </c>
      <c r="O15" s="13">
        <v>0</v>
      </c>
      <c r="P15" s="13">
        <v>0</v>
      </c>
      <c r="Q15" s="13">
        <v>0</v>
      </c>
      <c r="R15" s="13">
        <v>0</v>
      </c>
      <c r="S15" s="13">
        <v>0</v>
      </c>
      <c r="T15" s="13">
        <v>0</v>
      </c>
      <c r="U15" s="13">
        <v>0</v>
      </c>
      <c r="V15" s="13">
        <v>0</v>
      </c>
      <c r="W15" s="13">
        <v>6507</v>
      </c>
      <c r="X15" s="13">
        <v>575</v>
      </c>
      <c r="Y15" s="13">
        <v>2786</v>
      </c>
      <c r="Z15" s="13">
        <v>5209</v>
      </c>
      <c r="AA15" s="13">
        <v>0</v>
      </c>
      <c r="AB15" s="13">
        <v>33771</v>
      </c>
      <c r="AC15" s="13">
        <v>47735</v>
      </c>
      <c r="AD15" s="13">
        <v>38847</v>
      </c>
    </row>
    <row r="16" spans="2:30">
      <c r="B16" s="3" t="s">
        <v>4</v>
      </c>
      <c r="C16" s="1"/>
      <c r="D16" s="3" t="s">
        <v>596</v>
      </c>
      <c r="E16" s="1"/>
      <c r="F16" s="13">
        <v>465</v>
      </c>
      <c r="G16" s="13">
        <v>1467</v>
      </c>
      <c r="H16" s="13">
        <v>12826</v>
      </c>
      <c r="I16" s="13">
        <v>14418</v>
      </c>
      <c r="J16" s="13">
        <v>6331</v>
      </c>
      <c r="K16" s="13">
        <v>7132</v>
      </c>
      <c r="L16" s="13">
        <v>11769</v>
      </c>
      <c r="M16" s="13">
        <v>14597</v>
      </c>
      <c r="N16" s="13">
        <v>23657</v>
      </c>
      <c r="O16" s="13">
        <v>55970</v>
      </c>
      <c r="P16" s="13">
        <v>26539</v>
      </c>
      <c r="Q16" s="13">
        <v>43743</v>
      </c>
      <c r="R16" s="13">
        <v>32091</v>
      </c>
      <c r="S16" s="13">
        <v>35505</v>
      </c>
      <c r="T16" s="13">
        <v>38179</v>
      </c>
      <c r="U16" s="13">
        <v>18727</v>
      </c>
      <c r="V16" s="13">
        <v>28825</v>
      </c>
      <c r="W16" s="13">
        <v>40093</v>
      </c>
      <c r="X16" s="13">
        <v>43886</v>
      </c>
      <c r="Y16" s="13">
        <v>78331</v>
      </c>
      <c r="Z16" s="13">
        <v>44513</v>
      </c>
      <c r="AA16" s="13">
        <v>45075</v>
      </c>
      <c r="AB16" s="13">
        <v>92524</v>
      </c>
      <c r="AC16" s="13">
        <v>60603</v>
      </c>
      <c r="AD16" s="13">
        <v>49301</v>
      </c>
    </row>
    <row r="17" spans="2:30" ht="4.5" customHeight="1" thickBot="1">
      <c r="B17" s="10"/>
      <c r="C17" s="1"/>
      <c r="D17" s="10"/>
      <c r="E17" s="1"/>
      <c r="F17" s="13"/>
      <c r="G17" s="11"/>
      <c r="H17" s="11"/>
      <c r="I17" s="11"/>
      <c r="J17" s="11"/>
      <c r="K17" s="11"/>
      <c r="L17" s="11"/>
      <c r="M17" s="11"/>
      <c r="N17" s="11"/>
      <c r="O17" s="11"/>
      <c r="P17" s="11"/>
      <c r="Q17" s="11"/>
      <c r="R17" s="11"/>
      <c r="S17" s="11"/>
      <c r="T17" s="11"/>
      <c r="U17" s="11"/>
      <c r="V17" s="11"/>
      <c r="W17" s="11"/>
      <c r="X17" s="11"/>
      <c r="Y17" s="11"/>
      <c r="Z17" s="11"/>
      <c r="AA17" s="11"/>
      <c r="AB17" s="11"/>
      <c r="AC17" s="11"/>
      <c r="AD17" s="11"/>
    </row>
    <row r="18" spans="2:30" ht="13.5" thickBot="1">
      <c r="B18" s="28" t="s">
        <v>69</v>
      </c>
      <c r="C18" s="26"/>
      <c r="D18" s="28" t="s">
        <v>597</v>
      </c>
      <c r="E18" s="27"/>
      <c r="F18" s="40">
        <v>78884</v>
      </c>
      <c r="G18" s="40">
        <v>152334.99999999988</v>
      </c>
      <c r="H18" s="40">
        <v>322984</v>
      </c>
      <c r="I18" s="40">
        <v>293143</v>
      </c>
      <c r="J18" s="40">
        <v>1376819</v>
      </c>
      <c r="K18" s="40">
        <v>1376264</v>
      </c>
      <c r="L18" s="40">
        <v>1032807</v>
      </c>
      <c r="M18" s="40">
        <v>1181770</v>
      </c>
      <c r="N18" s="40">
        <f t="shared" ref="N18:T18" si="0">SUM(N9:N16)</f>
        <v>2175291</v>
      </c>
      <c r="O18" s="40">
        <f t="shared" si="0"/>
        <v>2423260</v>
      </c>
      <c r="P18" s="40">
        <f t="shared" si="0"/>
        <v>2132604</v>
      </c>
      <c r="Q18" s="40">
        <f t="shared" si="0"/>
        <v>1469015</v>
      </c>
      <c r="R18" s="40">
        <f t="shared" si="0"/>
        <v>1254774</v>
      </c>
      <c r="S18" s="40">
        <f t="shared" si="0"/>
        <v>1296353</v>
      </c>
      <c r="T18" s="40">
        <f t="shared" si="0"/>
        <v>1147431</v>
      </c>
      <c r="U18" s="40">
        <f t="shared" ref="U18:Z18" si="1">SUM(U9:U16)</f>
        <v>1209553</v>
      </c>
      <c r="V18" s="40">
        <f t="shared" si="1"/>
        <v>2119943</v>
      </c>
      <c r="W18" s="40">
        <f t="shared" si="1"/>
        <v>2001132</v>
      </c>
      <c r="X18" s="40">
        <f t="shared" si="1"/>
        <v>1569425</v>
      </c>
      <c r="Y18" s="40">
        <f t="shared" si="1"/>
        <v>1573777</v>
      </c>
      <c r="Z18" s="40">
        <f t="shared" si="1"/>
        <v>1135282</v>
      </c>
      <c r="AA18" s="40">
        <f t="shared" ref="AA18:AB18" si="2">SUM(AA9:AA16)</f>
        <v>1388394</v>
      </c>
      <c r="AB18" s="40">
        <f t="shared" si="2"/>
        <v>2158236</v>
      </c>
      <c r="AC18" s="40">
        <v>2246932</v>
      </c>
      <c r="AD18" s="40">
        <f t="shared" ref="AD18" si="3">SUM(AD9:AD16)</f>
        <v>2179049</v>
      </c>
    </row>
    <row r="19" spans="2:30">
      <c r="C19" s="12"/>
      <c r="F19" s="5"/>
      <c r="G19" s="5"/>
      <c r="H19" s="6"/>
      <c r="I19" s="6"/>
      <c r="J19" s="6"/>
      <c r="K19" s="6"/>
      <c r="L19" s="6"/>
      <c r="M19" s="6"/>
      <c r="N19" s="6"/>
      <c r="O19" s="6"/>
      <c r="P19" s="6"/>
      <c r="Q19" s="6"/>
      <c r="R19" s="6"/>
      <c r="S19" s="6"/>
      <c r="T19" s="6"/>
      <c r="U19" s="6"/>
      <c r="V19" s="6"/>
      <c r="W19" s="6"/>
      <c r="X19" s="6"/>
      <c r="Y19" s="6"/>
      <c r="Z19" s="6"/>
      <c r="AA19" s="6"/>
      <c r="AB19" s="6"/>
      <c r="AC19" s="6"/>
      <c r="AD19" s="6"/>
    </row>
    <row r="20" spans="2:30">
      <c r="B20" s="7" t="s">
        <v>70</v>
      </c>
      <c r="C20" s="12"/>
      <c r="D20" s="7" t="s">
        <v>701</v>
      </c>
      <c r="F20" s="5"/>
      <c r="G20" s="5"/>
      <c r="H20" s="6"/>
      <c r="I20" s="6"/>
      <c r="J20" s="6"/>
      <c r="K20" s="6"/>
      <c r="L20" s="6"/>
      <c r="M20" s="6"/>
      <c r="N20" s="6"/>
      <c r="O20" s="6"/>
      <c r="P20" s="6"/>
      <c r="Q20" s="6"/>
      <c r="R20" s="6"/>
      <c r="S20" s="6"/>
      <c r="T20" s="6"/>
      <c r="U20" s="6"/>
      <c r="V20" s="6"/>
      <c r="W20" s="6"/>
      <c r="X20" s="6"/>
      <c r="Y20" s="6"/>
      <c r="Z20" s="6"/>
      <c r="AA20" s="6"/>
      <c r="AB20" s="6"/>
      <c r="AC20" s="6"/>
      <c r="AD20" s="6"/>
    </row>
    <row r="21" spans="2:30">
      <c r="B21" s="10" t="s">
        <v>5</v>
      </c>
      <c r="C21" s="12"/>
      <c r="D21" s="10" t="s">
        <v>694</v>
      </c>
      <c r="F21" s="13">
        <v>3277</v>
      </c>
      <c r="G21" s="13">
        <v>10137</v>
      </c>
      <c r="H21" s="13">
        <v>68597</v>
      </c>
      <c r="I21" s="13">
        <v>74249</v>
      </c>
      <c r="J21" s="13">
        <v>63669</v>
      </c>
      <c r="K21" s="13">
        <v>68622</v>
      </c>
      <c r="L21" s="13">
        <v>69989</v>
      </c>
      <c r="M21" s="13">
        <v>74829</v>
      </c>
      <c r="N21" s="13">
        <v>81912</v>
      </c>
      <c r="O21" s="13">
        <v>0</v>
      </c>
      <c r="P21" s="13">
        <v>0</v>
      </c>
      <c r="Q21" s="13">
        <v>0</v>
      </c>
      <c r="R21" s="13">
        <v>0</v>
      </c>
      <c r="S21" s="13">
        <v>0</v>
      </c>
      <c r="T21" s="13">
        <v>0</v>
      </c>
      <c r="U21" s="13">
        <v>0</v>
      </c>
      <c r="V21" s="13">
        <v>0</v>
      </c>
      <c r="W21" s="13">
        <v>0</v>
      </c>
      <c r="X21" s="13">
        <v>15964</v>
      </c>
      <c r="Y21" s="13">
        <v>16439</v>
      </c>
      <c r="Z21" s="13">
        <v>16985</v>
      </c>
      <c r="AA21" s="13">
        <v>4848</v>
      </c>
      <c r="AB21" s="13">
        <v>5022</v>
      </c>
      <c r="AC21" s="13">
        <v>5193</v>
      </c>
      <c r="AD21" s="13">
        <v>5366</v>
      </c>
    </row>
    <row r="22" spans="2:30">
      <c r="B22" s="10" t="s">
        <v>1082</v>
      </c>
      <c r="C22" s="12"/>
      <c r="D22" s="3" t="s">
        <v>690</v>
      </c>
      <c r="F22" s="13">
        <v>0</v>
      </c>
      <c r="G22" s="13">
        <v>0</v>
      </c>
      <c r="H22" s="13">
        <v>0</v>
      </c>
      <c r="I22" s="13">
        <v>0</v>
      </c>
      <c r="J22" s="13">
        <v>0</v>
      </c>
      <c r="K22" s="13">
        <v>0</v>
      </c>
      <c r="L22" s="13">
        <v>0</v>
      </c>
      <c r="M22" s="13">
        <v>0</v>
      </c>
      <c r="N22" s="13">
        <v>0</v>
      </c>
      <c r="O22" s="13">
        <v>27306</v>
      </c>
      <c r="P22" s="13">
        <v>55917</v>
      </c>
      <c r="Q22" s="13">
        <v>55917</v>
      </c>
      <c r="R22" s="13">
        <v>55917</v>
      </c>
      <c r="S22" s="13">
        <v>55917</v>
      </c>
      <c r="T22" s="13">
        <v>55917</v>
      </c>
      <c r="U22" s="13">
        <v>55917</v>
      </c>
      <c r="V22" s="13">
        <v>55917</v>
      </c>
      <c r="W22" s="13">
        <v>55917</v>
      </c>
      <c r="X22" s="13">
        <v>58145</v>
      </c>
      <c r="Y22" s="13">
        <v>58475</v>
      </c>
      <c r="Z22" s="13">
        <v>58475</v>
      </c>
      <c r="AA22" s="13">
        <v>65231</v>
      </c>
      <c r="AB22" s="13">
        <v>65231</v>
      </c>
      <c r="AC22" s="13">
        <v>65231</v>
      </c>
      <c r="AD22" s="13">
        <v>65231</v>
      </c>
    </row>
    <row r="23" spans="2:30">
      <c r="B23" s="10" t="s">
        <v>1083</v>
      </c>
      <c r="C23" s="12"/>
      <c r="D23" s="3" t="s">
        <v>692</v>
      </c>
      <c r="F23" s="13">
        <v>3096</v>
      </c>
      <c r="G23" s="13">
        <v>422</v>
      </c>
      <c r="H23" s="13">
        <v>562</v>
      </c>
      <c r="I23" s="13">
        <v>1064</v>
      </c>
      <c r="J23" s="13">
        <v>7686</v>
      </c>
      <c r="K23" s="13">
        <v>8895</v>
      </c>
      <c r="L23" s="13">
        <v>13374</v>
      </c>
      <c r="M23" s="13">
        <v>13374</v>
      </c>
      <c r="N23" s="13">
        <v>15202</v>
      </c>
      <c r="O23" s="13">
        <v>15202</v>
      </c>
      <c r="P23" s="13">
        <v>68094</v>
      </c>
      <c r="Q23" s="13">
        <v>75764</v>
      </c>
      <c r="R23" s="13">
        <v>85034</v>
      </c>
      <c r="S23" s="13">
        <v>97582</v>
      </c>
      <c r="T23" s="13">
        <v>78049</v>
      </c>
      <c r="U23" s="13">
        <v>77814</v>
      </c>
      <c r="V23" s="13">
        <v>66350</v>
      </c>
      <c r="W23" s="13">
        <v>63086</v>
      </c>
      <c r="X23" s="13">
        <v>66820</v>
      </c>
      <c r="Y23" s="13">
        <v>67214</v>
      </c>
      <c r="Z23" s="13">
        <v>69421</v>
      </c>
      <c r="AA23" s="13">
        <v>73304</v>
      </c>
      <c r="AB23" s="13">
        <v>69109</v>
      </c>
      <c r="AC23" s="13">
        <v>66131</v>
      </c>
      <c r="AD23" s="13">
        <v>66400</v>
      </c>
    </row>
    <row r="24" spans="2:30">
      <c r="B24" s="10" t="s">
        <v>1273</v>
      </c>
      <c r="C24" s="12"/>
      <c r="D24" s="10" t="s">
        <v>637</v>
      </c>
      <c r="F24" s="13">
        <v>0</v>
      </c>
      <c r="G24" s="13">
        <v>1288</v>
      </c>
      <c r="H24" s="13">
        <v>56576</v>
      </c>
      <c r="I24" s="13"/>
      <c r="J24" s="13"/>
      <c r="K24" s="13"/>
      <c r="L24" s="13">
        <v>0</v>
      </c>
      <c r="M24" s="13"/>
      <c r="N24" s="13"/>
      <c r="O24" s="13"/>
      <c r="P24" s="13">
        <v>0</v>
      </c>
      <c r="Q24" s="13"/>
      <c r="R24" s="13"/>
      <c r="S24" s="13"/>
      <c r="T24" s="13">
        <v>0</v>
      </c>
      <c r="U24" s="13">
        <v>0</v>
      </c>
      <c r="V24" s="13">
        <v>0</v>
      </c>
      <c r="W24" s="13">
        <v>0</v>
      </c>
      <c r="X24" s="13">
        <v>0</v>
      </c>
      <c r="Y24" s="13">
        <v>0</v>
      </c>
      <c r="Z24" s="13">
        <v>0</v>
      </c>
      <c r="AA24" s="13">
        <v>0</v>
      </c>
      <c r="AB24" s="13">
        <v>0</v>
      </c>
      <c r="AC24" s="13">
        <v>206828</v>
      </c>
      <c r="AD24" s="13">
        <v>266605</v>
      </c>
    </row>
    <row r="25" spans="2:30">
      <c r="B25" s="10" t="s">
        <v>6</v>
      </c>
      <c r="C25" s="12"/>
      <c r="D25" s="10" t="s">
        <v>598</v>
      </c>
      <c r="F25" s="13">
        <v>2062</v>
      </c>
      <c r="G25" s="13">
        <v>2126</v>
      </c>
      <c r="H25" s="13">
        <v>2311</v>
      </c>
      <c r="I25" s="13">
        <v>2298</v>
      </c>
      <c r="J25" s="13">
        <v>2588</v>
      </c>
      <c r="K25" s="13">
        <v>2588</v>
      </c>
      <c r="L25" s="13">
        <v>2445</v>
      </c>
      <c r="M25" s="13">
        <v>2839</v>
      </c>
      <c r="N25" s="13">
        <v>2475</v>
      </c>
      <c r="O25" s="13">
        <v>2678</v>
      </c>
      <c r="P25" s="13">
        <v>2608</v>
      </c>
      <c r="Q25" s="13">
        <v>0</v>
      </c>
      <c r="R25" s="13">
        <v>0</v>
      </c>
      <c r="S25" s="13">
        <v>0</v>
      </c>
      <c r="T25" s="13">
        <v>0</v>
      </c>
      <c r="U25" s="13">
        <v>0</v>
      </c>
      <c r="V25" s="13">
        <v>0</v>
      </c>
      <c r="W25" s="13">
        <v>0</v>
      </c>
      <c r="X25" s="13">
        <v>0</v>
      </c>
      <c r="Y25" s="13">
        <v>0</v>
      </c>
      <c r="Z25" s="13">
        <v>0</v>
      </c>
      <c r="AA25" s="13">
        <v>0</v>
      </c>
      <c r="AB25" s="13">
        <v>0</v>
      </c>
      <c r="AC25" s="13">
        <v>0</v>
      </c>
      <c r="AD25" s="13">
        <v>0</v>
      </c>
    </row>
    <row r="26" spans="2:30">
      <c r="B26" s="10" t="s">
        <v>7</v>
      </c>
      <c r="C26" s="12"/>
      <c r="D26" s="10" t="s">
        <v>596</v>
      </c>
      <c r="F26" s="13">
        <v>404</v>
      </c>
      <c r="G26" s="13">
        <v>383</v>
      </c>
      <c r="H26" s="13">
        <v>475</v>
      </c>
      <c r="I26" s="13">
        <v>468</v>
      </c>
      <c r="J26" s="13">
        <v>240</v>
      </c>
      <c r="K26" s="13">
        <v>274</v>
      </c>
      <c r="L26" s="13">
        <v>483</v>
      </c>
      <c r="M26" s="13">
        <v>5848</v>
      </c>
      <c r="N26" s="13">
        <v>2011</v>
      </c>
      <c r="O26" s="13">
        <v>1442</v>
      </c>
      <c r="P26" s="13">
        <v>836</v>
      </c>
      <c r="Q26" s="13">
        <v>5101</v>
      </c>
      <c r="R26" s="13">
        <v>5214</v>
      </c>
      <c r="S26" s="13">
        <v>5266</v>
      </c>
      <c r="T26" s="13">
        <v>5816</v>
      </c>
      <c r="U26" s="13">
        <v>5388</v>
      </c>
      <c r="V26" s="13">
        <v>7300</v>
      </c>
      <c r="W26" s="13">
        <v>47342</v>
      </c>
      <c r="X26" s="13">
        <v>46540</v>
      </c>
      <c r="Y26" s="13">
        <v>51262</v>
      </c>
      <c r="Z26" s="13">
        <v>53815</v>
      </c>
      <c r="AA26" s="13">
        <v>54048</v>
      </c>
      <c r="AB26" s="13">
        <v>81912</v>
      </c>
      <c r="AC26" s="13">
        <v>74515</v>
      </c>
      <c r="AD26" s="13">
        <v>76131</v>
      </c>
    </row>
    <row r="27" spans="2:30">
      <c r="B27" s="10" t="s">
        <v>738</v>
      </c>
      <c r="C27" s="12"/>
      <c r="D27" s="10" t="s">
        <v>695</v>
      </c>
      <c r="F27" s="13">
        <v>0</v>
      </c>
      <c r="G27" s="13">
        <v>0</v>
      </c>
      <c r="H27" s="13">
        <v>3070</v>
      </c>
      <c r="I27" s="13">
        <v>98664</v>
      </c>
      <c r="J27" s="13">
        <v>187162</v>
      </c>
      <c r="K27" s="13">
        <v>222009</v>
      </c>
      <c r="L27" s="13">
        <v>222941</v>
      </c>
      <c r="M27" s="13">
        <v>290662</v>
      </c>
      <c r="N27" s="13">
        <v>285326</v>
      </c>
      <c r="O27" s="13">
        <v>166836</v>
      </c>
      <c r="P27" s="13">
        <v>167840</v>
      </c>
      <c r="Q27" s="13">
        <v>142088</v>
      </c>
      <c r="R27" s="13">
        <v>61968</v>
      </c>
      <c r="S27" s="13">
        <v>55524</v>
      </c>
      <c r="T27" s="13">
        <v>46370</v>
      </c>
      <c r="U27" s="13">
        <v>36160</v>
      </c>
      <c r="V27" s="13">
        <v>96614</v>
      </c>
      <c r="W27" s="13">
        <v>49711</v>
      </c>
      <c r="X27" s="13">
        <v>97025</v>
      </c>
      <c r="Y27" s="13">
        <v>22572</v>
      </c>
      <c r="Z27" s="13">
        <v>11838</v>
      </c>
      <c r="AA27" s="13">
        <v>11531</v>
      </c>
      <c r="AB27" s="13">
        <v>8113</v>
      </c>
      <c r="AC27" s="13">
        <v>58615</v>
      </c>
      <c r="AD27" s="13">
        <v>4037</v>
      </c>
    </row>
    <row r="28" spans="2:30" ht="12" customHeight="1">
      <c r="B28" s="14" t="s">
        <v>577</v>
      </c>
      <c r="C28" s="15"/>
      <c r="D28" s="14" t="s">
        <v>696</v>
      </c>
      <c r="E28" s="1"/>
      <c r="F28" s="13">
        <v>418180</v>
      </c>
      <c r="G28" s="13">
        <v>1669633</v>
      </c>
      <c r="H28" s="13">
        <v>1604918</v>
      </c>
      <c r="I28" s="13">
        <v>1641888</v>
      </c>
      <c r="J28" s="13">
        <v>1615361</v>
      </c>
      <c r="K28" s="13">
        <v>1620045</v>
      </c>
      <c r="L28" s="13">
        <v>3360865</v>
      </c>
      <c r="M28" s="13">
        <v>3464455</v>
      </c>
      <c r="N28" s="13">
        <v>3671762</v>
      </c>
      <c r="O28" s="13">
        <v>3880955</v>
      </c>
      <c r="P28" s="13">
        <v>4129365</v>
      </c>
      <c r="Q28" s="13">
        <v>5101969</v>
      </c>
      <c r="R28" s="13">
        <v>5260304</v>
      </c>
      <c r="S28" s="13">
        <v>5351189</v>
      </c>
      <c r="T28" s="13">
        <v>5455889</v>
      </c>
      <c r="U28" s="13">
        <v>5469739</v>
      </c>
      <c r="V28" s="13">
        <v>5466627</v>
      </c>
      <c r="W28" s="13">
        <v>5461135</v>
      </c>
      <c r="X28" s="13">
        <v>5561314</v>
      </c>
      <c r="Y28" s="13">
        <v>5649399</v>
      </c>
      <c r="Z28" s="13">
        <v>5833421</v>
      </c>
      <c r="AA28" s="13">
        <v>6269821</v>
      </c>
      <c r="AB28" s="13">
        <v>6254225</v>
      </c>
      <c r="AC28" s="13">
        <v>6300056</v>
      </c>
      <c r="AD28" s="13">
        <v>6330865</v>
      </c>
    </row>
    <row r="29" spans="2:30">
      <c r="B29" s="14" t="s">
        <v>9</v>
      </c>
      <c r="C29" s="15"/>
      <c r="D29" s="14" t="s">
        <v>697</v>
      </c>
      <c r="E29" s="1"/>
      <c r="F29" s="13">
        <v>0</v>
      </c>
      <c r="G29" s="13">
        <v>27596</v>
      </c>
      <c r="H29" s="13">
        <v>20680</v>
      </c>
      <c r="I29" s="13">
        <v>18961</v>
      </c>
      <c r="J29" s="13">
        <v>18743</v>
      </c>
      <c r="K29" s="13">
        <v>13865</v>
      </c>
      <c r="L29" s="13">
        <v>12489</v>
      </c>
      <c r="M29" s="13">
        <v>14031</v>
      </c>
      <c r="N29" s="13">
        <v>16971</v>
      </c>
      <c r="O29" s="13">
        <v>14372</v>
      </c>
      <c r="P29" s="13">
        <v>27830</v>
      </c>
      <c r="Q29" s="13">
        <v>52311</v>
      </c>
      <c r="R29" s="13">
        <v>44372</v>
      </c>
      <c r="S29" s="13">
        <v>50822</v>
      </c>
      <c r="T29" s="13">
        <v>39712</v>
      </c>
      <c r="U29" s="13">
        <v>30553</v>
      </c>
      <c r="V29" s="13">
        <v>19037</v>
      </c>
      <c r="W29" s="13">
        <v>30668</v>
      </c>
      <c r="X29" s="13">
        <v>22338</v>
      </c>
      <c r="Y29" s="13">
        <v>15792</v>
      </c>
      <c r="Z29" s="13">
        <v>22608</v>
      </c>
      <c r="AA29" s="13">
        <v>30665</v>
      </c>
      <c r="AB29" s="13">
        <v>24883</v>
      </c>
      <c r="AC29" s="13">
        <v>44617</v>
      </c>
      <c r="AD29" s="13">
        <v>38131</v>
      </c>
    </row>
    <row r="30" spans="2:30" ht="4.5" customHeight="1" thickBot="1">
      <c r="B30" s="14" t="s">
        <v>8</v>
      </c>
      <c r="C30" s="15"/>
      <c r="D30" s="14" t="s">
        <v>599</v>
      </c>
      <c r="E30" s="1"/>
      <c r="F30" s="11"/>
      <c r="G30" s="11"/>
      <c r="H30" s="11"/>
      <c r="J30" s="11"/>
      <c r="K30" s="11"/>
      <c r="L30" s="11"/>
    </row>
    <row r="31" spans="2:30" ht="13.5" thickBot="1">
      <c r="B31" s="28" t="s">
        <v>71</v>
      </c>
      <c r="C31" s="26"/>
      <c r="D31" s="28" t="s">
        <v>600</v>
      </c>
      <c r="E31" s="27"/>
      <c r="F31" s="40">
        <v>427019</v>
      </c>
      <c r="G31" s="40">
        <v>1711585</v>
      </c>
      <c r="H31" s="40">
        <v>1757189</v>
      </c>
      <c r="I31" s="40">
        <v>1840064</v>
      </c>
      <c r="J31" s="40">
        <v>1895449</v>
      </c>
      <c r="K31" s="40">
        <v>1936298</v>
      </c>
      <c r="L31" s="40">
        <v>3682586</v>
      </c>
      <c r="M31" s="40">
        <v>3866038</v>
      </c>
      <c r="N31" s="40">
        <f t="shared" ref="N31:AB31" si="4">SUM(N21:N29)</f>
        <v>4075659</v>
      </c>
      <c r="O31" s="40">
        <f t="shared" si="4"/>
        <v>4108791</v>
      </c>
      <c r="P31" s="40">
        <f t="shared" si="4"/>
        <v>4452490</v>
      </c>
      <c r="Q31" s="40">
        <f t="shared" si="4"/>
        <v>5433150</v>
      </c>
      <c r="R31" s="40">
        <f t="shared" si="4"/>
        <v>5512809</v>
      </c>
      <c r="S31" s="40">
        <f t="shared" si="4"/>
        <v>5616300</v>
      </c>
      <c r="T31" s="40">
        <f t="shared" si="4"/>
        <v>5681753</v>
      </c>
      <c r="U31" s="40">
        <f t="shared" si="4"/>
        <v>5675571</v>
      </c>
      <c r="V31" s="40">
        <f t="shared" si="4"/>
        <v>5711845</v>
      </c>
      <c r="W31" s="40">
        <f t="shared" si="4"/>
        <v>5707859</v>
      </c>
      <c r="X31" s="40">
        <f t="shared" si="4"/>
        <v>5868146</v>
      </c>
      <c r="Y31" s="40">
        <f t="shared" si="4"/>
        <v>5881153</v>
      </c>
      <c r="Z31" s="40">
        <f t="shared" si="4"/>
        <v>6066563</v>
      </c>
      <c r="AA31" s="40">
        <f t="shared" si="4"/>
        <v>6509448</v>
      </c>
      <c r="AB31" s="40">
        <f t="shared" si="4"/>
        <v>6508495</v>
      </c>
      <c r="AC31" s="40">
        <v>6821186</v>
      </c>
      <c r="AD31" s="40">
        <f>SUM(AD21:AD29)</f>
        <v>6852766</v>
      </c>
    </row>
    <row r="32" spans="2:30" ht="13.5" thickBot="1">
      <c r="B32" s="10"/>
      <c r="C32" s="12"/>
      <c r="D32" s="10"/>
      <c r="E32" s="1"/>
      <c r="V32" s="137"/>
    </row>
    <row r="33" spans="2:30" s="1" customFormat="1" ht="13.5" thickBot="1">
      <c r="B33" s="28" t="s">
        <v>73</v>
      </c>
      <c r="C33" s="30"/>
      <c r="D33" s="28" t="s">
        <v>617</v>
      </c>
      <c r="E33" s="27"/>
      <c r="F33" s="41">
        <v>505903</v>
      </c>
      <c r="G33" s="41">
        <v>1863920</v>
      </c>
      <c r="H33" s="41">
        <v>2080173</v>
      </c>
      <c r="I33" s="41">
        <v>2133207</v>
      </c>
      <c r="J33" s="41">
        <v>3272268</v>
      </c>
      <c r="K33" s="41">
        <v>3312562</v>
      </c>
      <c r="L33" s="41">
        <v>4715393</v>
      </c>
      <c r="M33" s="41">
        <v>5047808</v>
      </c>
      <c r="N33" s="41">
        <f t="shared" ref="N33:AB33" si="5">N18+N31</f>
        <v>6250950</v>
      </c>
      <c r="O33" s="41">
        <f t="shared" si="5"/>
        <v>6532051</v>
      </c>
      <c r="P33" s="41">
        <f t="shared" si="5"/>
        <v>6585094</v>
      </c>
      <c r="Q33" s="41">
        <f t="shared" si="5"/>
        <v>6902165</v>
      </c>
      <c r="R33" s="41">
        <f t="shared" si="5"/>
        <v>6767583</v>
      </c>
      <c r="S33" s="41">
        <f t="shared" si="5"/>
        <v>6912653</v>
      </c>
      <c r="T33" s="41">
        <f t="shared" si="5"/>
        <v>6829184</v>
      </c>
      <c r="U33" s="41">
        <f t="shared" si="5"/>
        <v>6885124</v>
      </c>
      <c r="V33" s="41">
        <f t="shared" si="5"/>
        <v>7831788</v>
      </c>
      <c r="W33" s="41">
        <f t="shared" si="5"/>
        <v>7708991</v>
      </c>
      <c r="X33" s="41">
        <f t="shared" si="5"/>
        <v>7437571</v>
      </c>
      <c r="Y33" s="41">
        <f t="shared" si="5"/>
        <v>7454930</v>
      </c>
      <c r="Z33" s="41">
        <f t="shared" si="5"/>
        <v>7201845</v>
      </c>
      <c r="AA33" s="41">
        <f t="shared" si="5"/>
        <v>7897842</v>
      </c>
      <c r="AB33" s="41">
        <f t="shared" si="5"/>
        <v>8666731</v>
      </c>
      <c r="AC33" s="41">
        <v>9068118</v>
      </c>
      <c r="AD33" s="41">
        <f>AD18+AD31</f>
        <v>9031815</v>
      </c>
    </row>
    <row r="34" spans="2:30">
      <c r="B34" s="10"/>
      <c r="C34" s="12"/>
      <c r="D34" s="10"/>
      <c r="E34" s="1"/>
    </row>
    <row r="35" spans="2:30" ht="14.5">
      <c r="B35" s="31" t="s">
        <v>72</v>
      </c>
      <c r="C35" s="32"/>
      <c r="D35" s="31" t="s">
        <v>699</v>
      </c>
      <c r="E35" s="29"/>
      <c r="F35" s="32"/>
      <c r="G35" s="32"/>
      <c r="H35" s="32"/>
      <c r="I35" s="32"/>
      <c r="J35" s="32"/>
      <c r="K35" s="32"/>
      <c r="L35" s="32"/>
      <c r="M35" s="146"/>
      <c r="N35" s="146"/>
      <c r="O35" s="146"/>
      <c r="P35" s="146"/>
      <c r="Q35" s="146"/>
      <c r="R35" s="146"/>
      <c r="S35" s="146"/>
      <c r="T35" s="146"/>
      <c r="U35" s="146"/>
      <c r="V35" s="146"/>
      <c r="W35" s="146"/>
      <c r="X35" s="146"/>
      <c r="Y35" s="146"/>
      <c r="Z35" s="146"/>
      <c r="AA35" s="146"/>
      <c r="AB35" s="146"/>
      <c r="AC35" s="146"/>
      <c r="AD35" s="146"/>
    </row>
    <row r="36" spans="2:30" ht="6.75" customHeight="1">
      <c r="C36" s="12"/>
      <c r="F36" s="5"/>
      <c r="G36" s="5"/>
      <c r="H36" s="6"/>
      <c r="I36" s="6"/>
      <c r="J36" s="6"/>
      <c r="K36" s="6"/>
      <c r="L36" s="6"/>
      <c r="M36" s="6"/>
      <c r="N36" s="6"/>
      <c r="O36" s="6"/>
      <c r="P36" s="6"/>
      <c r="Q36" s="6"/>
      <c r="R36" s="6"/>
      <c r="S36" s="6"/>
      <c r="T36" s="6"/>
      <c r="U36" s="6"/>
      <c r="V36" s="6"/>
      <c r="W36" s="6"/>
      <c r="X36" s="6"/>
      <c r="Y36" s="6"/>
      <c r="Z36" s="6"/>
      <c r="AA36" s="6"/>
      <c r="AB36" s="6"/>
      <c r="AC36" s="6"/>
      <c r="AD36" s="6"/>
    </row>
    <row r="37" spans="2:30">
      <c r="B37" s="7" t="s">
        <v>68</v>
      </c>
      <c r="C37" s="12"/>
      <c r="D37" s="7" t="s">
        <v>698</v>
      </c>
      <c r="E37" s="1"/>
      <c r="F37" s="8"/>
      <c r="G37" s="8"/>
      <c r="H37" s="8"/>
      <c r="I37" s="8"/>
      <c r="J37" s="8"/>
      <c r="K37" s="8"/>
      <c r="L37" s="8"/>
      <c r="M37" s="8"/>
      <c r="N37" s="8"/>
      <c r="O37" s="8"/>
      <c r="P37" s="8"/>
      <c r="Q37" s="8"/>
      <c r="R37" s="8"/>
      <c r="S37" s="8"/>
      <c r="T37" s="8"/>
      <c r="U37" s="8"/>
      <c r="V37" s="8"/>
      <c r="W37" s="8"/>
      <c r="X37" s="8"/>
      <c r="Y37" s="8"/>
      <c r="Z37" s="8"/>
      <c r="AA37" s="8"/>
      <c r="AB37" s="8"/>
      <c r="AC37" s="8"/>
      <c r="AD37" s="8"/>
    </row>
    <row r="38" spans="2:30">
      <c r="B38" s="10" t="s">
        <v>10</v>
      </c>
      <c r="C38" s="12"/>
      <c r="D38" s="10" t="s">
        <v>601</v>
      </c>
      <c r="E38" s="1"/>
      <c r="F38" s="13">
        <v>32540</v>
      </c>
      <c r="G38" s="13">
        <v>42515</v>
      </c>
      <c r="H38" s="13">
        <v>80089</v>
      </c>
      <c r="I38" s="13">
        <v>85397</v>
      </c>
      <c r="J38" s="13">
        <v>81808</v>
      </c>
      <c r="K38" s="13">
        <v>65658</v>
      </c>
      <c r="L38" s="13">
        <v>98708</v>
      </c>
      <c r="M38" s="13">
        <v>153583</v>
      </c>
      <c r="N38" s="13">
        <v>190036</v>
      </c>
      <c r="O38" s="13">
        <v>273068</v>
      </c>
      <c r="P38" s="13">
        <v>352152</v>
      </c>
      <c r="Q38" s="13">
        <v>417994</v>
      </c>
      <c r="R38" s="13">
        <v>374827</v>
      </c>
      <c r="S38" s="13">
        <v>370092</v>
      </c>
      <c r="T38" s="13">
        <v>254010</v>
      </c>
      <c r="U38" s="13">
        <v>215748</v>
      </c>
      <c r="V38" s="13">
        <v>233373</v>
      </c>
      <c r="W38" s="13">
        <v>259128</v>
      </c>
      <c r="X38" s="13">
        <v>299110</v>
      </c>
      <c r="Y38" s="13">
        <v>367947</v>
      </c>
      <c r="Z38" s="13">
        <v>328410</v>
      </c>
      <c r="AA38" s="13">
        <v>308179</v>
      </c>
      <c r="AB38" s="13">
        <v>265879</v>
      </c>
      <c r="AC38" s="13">
        <v>230608</v>
      </c>
      <c r="AD38" s="13">
        <v>271366</v>
      </c>
    </row>
    <row r="39" spans="2:30">
      <c r="B39" s="10" t="s">
        <v>11</v>
      </c>
      <c r="C39" s="12"/>
      <c r="D39" s="10" t="s">
        <v>702</v>
      </c>
      <c r="E39" s="1"/>
      <c r="F39" s="13">
        <v>11142</v>
      </c>
      <c r="G39" s="13">
        <v>13839</v>
      </c>
      <c r="H39" s="13">
        <v>16065</v>
      </c>
      <c r="I39" s="13">
        <v>19765</v>
      </c>
      <c r="J39" s="13">
        <v>23028</v>
      </c>
      <c r="K39" s="13">
        <v>28402</v>
      </c>
      <c r="L39" s="13">
        <v>30563</v>
      </c>
      <c r="M39" s="13">
        <v>41875</v>
      </c>
      <c r="N39" s="13">
        <v>38412</v>
      </c>
      <c r="O39" s="13">
        <v>51180</v>
      </c>
      <c r="P39" s="13">
        <v>60848</v>
      </c>
      <c r="Q39" s="13">
        <v>72458</v>
      </c>
      <c r="R39" s="13">
        <v>63289</v>
      </c>
      <c r="S39" s="13">
        <v>80290</v>
      </c>
      <c r="T39" s="13">
        <v>86647</v>
      </c>
      <c r="U39" s="13">
        <v>79495</v>
      </c>
      <c r="V39" s="13">
        <v>74351</v>
      </c>
      <c r="W39" s="13">
        <v>91659</v>
      </c>
      <c r="X39" s="13">
        <v>93929</v>
      </c>
      <c r="Y39" s="13">
        <v>106314</v>
      </c>
      <c r="Z39" s="13">
        <v>86559</v>
      </c>
      <c r="AA39" s="13">
        <v>108506</v>
      </c>
      <c r="AB39" s="13">
        <v>88753</v>
      </c>
      <c r="AC39" s="13">
        <v>102904</v>
      </c>
      <c r="AD39" s="13">
        <v>83342</v>
      </c>
    </row>
    <row r="40" spans="2:30">
      <c r="B40" s="10" t="s">
        <v>12</v>
      </c>
      <c r="C40" s="12"/>
      <c r="D40" s="3" t="s">
        <v>692</v>
      </c>
      <c r="E40" s="1"/>
      <c r="F40" s="13">
        <v>6830</v>
      </c>
      <c r="G40" s="13">
        <v>16641</v>
      </c>
      <c r="H40" s="13">
        <v>22762</v>
      </c>
      <c r="I40" s="13">
        <v>34835</v>
      </c>
      <c r="J40" s="13">
        <v>54253</v>
      </c>
      <c r="K40" s="13">
        <v>51170</v>
      </c>
      <c r="L40" s="13">
        <v>66995</v>
      </c>
      <c r="M40" s="13">
        <v>124939</v>
      </c>
      <c r="N40" s="13">
        <v>123668</v>
      </c>
      <c r="O40" s="13">
        <v>146004</v>
      </c>
      <c r="P40" s="13">
        <v>124275</v>
      </c>
      <c r="Q40" s="13">
        <v>119903</v>
      </c>
      <c r="R40" s="13">
        <v>86136</v>
      </c>
      <c r="S40" s="13">
        <v>64924</v>
      </c>
      <c r="T40" s="13">
        <v>49537</v>
      </c>
      <c r="U40" s="13">
        <v>59146</v>
      </c>
      <c r="V40" s="13">
        <v>41050</v>
      </c>
      <c r="W40" s="13">
        <v>63691</v>
      </c>
      <c r="X40" s="13">
        <v>74193</v>
      </c>
      <c r="Y40" s="13">
        <v>61155</v>
      </c>
      <c r="Z40" s="13">
        <v>48786</v>
      </c>
      <c r="AA40" s="13">
        <v>39730</v>
      </c>
      <c r="AB40" s="13">
        <v>50549</v>
      </c>
      <c r="AC40" s="13">
        <v>54556</v>
      </c>
      <c r="AD40" s="13">
        <v>27390</v>
      </c>
    </row>
    <row r="41" spans="2:30">
      <c r="B41" s="10" t="s">
        <v>13</v>
      </c>
      <c r="C41" s="12"/>
      <c r="D41" s="10" t="s">
        <v>603</v>
      </c>
      <c r="E41" s="1"/>
      <c r="F41" s="13">
        <v>1183</v>
      </c>
      <c r="G41" s="13">
        <v>35320</v>
      </c>
      <c r="H41" s="13">
        <v>212931</v>
      </c>
      <c r="I41" s="13">
        <v>294175</v>
      </c>
      <c r="J41" s="13">
        <v>261795</v>
      </c>
      <c r="K41" s="13">
        <v>268087</v>
      </c>
      <c r="L41" s="13">
        <v>281762</v>
      </c>
      <c r="M41" s="13">
        <v>251762</v>
      </c>
      <c r="N41" s="13">
        <v>282996</v>
      </c>
      <c r="O41" s="13">
        <v>2205</v>
      </c>
      <c r="P41" s="13">
        <v>14011</v>
      </c>
      <c r="Q41" s="13">
        <v>49352</v>
      </c>
      <c r="R41" s="13">
        <v>59608</v>
      </c>
      <c r="S41" s="13">
        <v>115535</v>
      </c>
      <c r="T41" s="13">
        <v>142772</v>
      </c>
      <c r="U41" s="13">
        <v>149689</v>
      </c>
      <c r="V41" s="13">
        <v>201755</v>
      </c>
      <c r="W41" s="13">
        <v>96683</v>
      </c>
      <c r="X41" s="13">
        <v>0</v>
      </c>
      <c r="Y41" s="13">
        <v>0</v>
      </c>
      <c r="Z41" s="13">
        <v>0</v>
      </c>
      <c r="AA41" s="13">
        <v>0</v>
      </c>
      <c r="AB41" s="13">
        <v>0</v>
      </c>
      <c r="AC41" s="13">
        <v>0</v>
      </c>
      <c r="AD41" s="13">
        <v>0</v>
      </c>
    </row>
    <row r="42" spans="2:30">
      <c r="B42" s="10" t="s">
        <v>1084</v>
      </c>
      <c r="C42" s="12"/>
      <c r="D42" s="10" t="s">
        <v>1085</v>
      </c>
      <c r="E42" s="13">
        <v>0</v>
      </c>
      <c r="F42" s="13">
        <v>0</v>
      </c>
      <c r="G42" s="13">
        <v>0</v>
      </c>
      <c r="H42" s="13">
        <v>0</v>
      </c>
      <c r="I42" s="13">
        <v>0</v>
      </c>
      <c r="J42" s="13">
        <v>0</v>
      </c>
      <c r="K42" s="13">
        <v>0</v>
      </c>
      <c r="L42" s="13">
        <v>0</v>
      </c>
      <c r="M42" s="13">
        <v>0</v>
      </c>
      <c r="N42" s="13">
        <v>0</v>
      </c>
      <c r="O42" s="13">
        <v>0</v>
      </c>
      <c r="P42" s="13">
        <v>0</v>
      </c>
      <c r="Q42" s="13">
        <v>0</v>
      </c>
      <c r="R42" s="13">
        <v>0</v>
      </c>
      <c r="S42" s="13">
        <v>0</v>
      </c>
      <c r="T42" s="13">
        <v>0</v>
      </c>
      <c r="U42" s="13">
        <v>0</v>
      </c>
      <c r="V42" s="13">
        <v>2417</v>
      </c>
      <c r="W42" s="13">
        <v>28316</v>
      </c>
      <c r="X42" s="13">
        <v>20907</v>
      </c>
      <c r="Y42" s="13">
        <v>67824</v>
      </c>
      <c r="Z42" s="13">
        <v>26513</v>
      </c>
      <c r="AA42" s="13">
        <v>99163</v>
      </c>
      <c r="AB42" s="13">
        <v>64914</v>
      </c>
      <c r="AC42" s="13">
        <v>107719</v>
      </c>
      <c r="AD42" s="13">
        <v>63733</v>
      </c>
    </row>
    <row r="43" spans="2:30">
      <c r="B43" s="10" t="s">
        <v>14</v>
      </c>
      <c r="C43" s="12"/>
      <c r="D43" s="10" t="s">
        <v>703</v>
      </c>
      <c r="E43" s="1"/>
      <c r="F43" s="13">
        <v>509</v>
      </c>
      <c r="G43" s="13">
        <v>15060.974758877754</v>
      </c>
      <c r="H43" s="13">
        <v>15241</v>
      </c>
      <c r="I43" s="13">
        <v>15269</v>
      </c>
      <c r="J43" s="13">
        <v>17098</v>
      </c>
      <c r="K43" s="13">
        <v>11782</v>
      </c>
      <c r="L43" s="13">
        <v>10486</v>
      </c>
      <c r="M43" s="13">
        <v>11364</v>
      </c>
      <c r="N43" s="13">
        <v>11945</v>
      </c>
      <c r="O43" s="13">
        <v>10740</v>
      </c>
      <c r="P43" s="13">
        <v>20382</v>
      </c>
      <c r="Q43" s="13">
        <v>29595</v>
      </c>
      <c r="R43" s="13">
        <v>25608</v>
      </c>
      <c r="S43" s="13">
        <v>40798</v>
      </c>
      <c r="T43" s="13">
        <v>32887</v>
      </c>
      <c r="U43" s="13">
        <v>20440</v>
      </c>
      <c r="V43" s="13">
        <v>11225</v>
      </c>
      <c r="W43" s="13">
        <v>24834</v>
      </c>
      <c r="X43" s="13">
        <v>17138</v>
      </c>
      <c r="Y43" s="13">
        <v>11823</v>
      </c>
      <c r="Z43" s="13">
        <v>13202</v>
      </c>
      <c r="AA43" s="13">
        <v>22169</v>
      </c>
      <c r="AB43" s="13">
        <v>19173</v>
      </c>
      <c r="AC43" s="13">
        <v>22137</v>
      </c>
      <c r="AD43" s="13">
        <v>17250</v>
      </c>
    </row>
    <row r="44" spans="2:30">
      <c r="B44" s="10" t="s">
        <v>15</v>
      </c>
      <c r="C44" s="12"/>
      <c r="D44" s="10" t="s">
        <v>637</v>
      </c>
      <c r="E44" s="1"/>
      <c r="F44" s="13">
        <v>0</v>
      </c>
      <c r="G44" s="13">
        <v>1042</v>
      </c>
      <c r="H44" s="13">
        <v>0</v>
      </c>
      <c r="I44" s="13">
        <v>37137</v>
      </c>
      <c r="J44" s="13">
        <v>151685</v>
      </c>
      <c r="K44" s="13">
        <v>211860</v>
      </c>
      <c r="L44" s="13">
        <v>231125</v>
      </c>
      <c r="M44" s="13">
        <v>405828</v>
      </c>
      <c r="N44" s="13">
        <v>461229</v>
      </c>
      <c r="O44" s="13">
        <v>277828</v>
      </c>
      <c r="P44" s="13">
        <v>285183</v>
      </c>
      <c r="Q44" s="13">
        <v>218798</v>
      </c>
      <c r="R44" s="13">
        <v>142384</v>
      </c>
      <c r="S44" s="13">
        <v>205405</v>
      </c>
      <c r="T44" s="13">
        <v>99478</v>
      </c>
      <c r="U44" s="13">
        <v>81575</v>
      </c>
      <c r="V44" s="13">
        <v>54227</v>
      </c>
      <c r="W44" s="13">
        <v>5233</v>
      </c>
      <c r="X44" s="13">
        <v>1003</v>
      </c>
      <c r="Y44" s="13">
        <v>1371</v>
      </c>
      <c r="Z44" s="13">
        <v>327</v>
      </c>
      <c r="AA44" s="13">
        <v>745</v>
      </c>
      <c r="AB44" s="13">
        <v>0</v>
      </c>
      <c r="AC44" s="13">
        <v>328920</v>
      </c>
      <c r="AD44" s="13">
        <v>128203</v>
      </c>
    </row>
    <row r="45" spans="2:30">
      <c r="B45" s="10" t="s">
        <v>802</v>
      </c>
      <c r="C45" s="12"/>
      <c r="D45" s="10" t="s">
        <v>604</v>
      </c>
      <c r="E45" s="1"/>
      <c r="F45" s="13">
        <v>2</v>
      </c>
      <c r="G45" s="13">
        <v>12896</v>
      </c>
      <c r="H45" s="13">
        <v>2</v>
      </c>
      <c r="I45" s="13">
        <v>2</v>
      </c>
      <c r="J45" s="13">
        <v>2</v>
      </c>
      <c r="K45" s="13">
        <v>2</v>
      </c>
      <c r="L45" s="13">
        <v>40566</v>
      </c>
      <c r="M45" s="13">
        <v>40566</v>
      </c>
      <c r="N45" s="13">
        <v>880</v>
      </c>
      <c r="O45" s="13">
        <v>8</v>
      </c>
      <c r="P45" s="13">
        <v>106416</v>
      </c>
      <c r="Q45" s="13">
        <v>106416</v>
      </c>
      <c r="R45" s="13">
        <v>0</v>
      </c>
      <c r="S45" s="13">
        <v>0</v>
      </c>
      <c r="T45" s="13">
        <v>17359</v>
      </c>
      <c r="U45" s="13">
        <v>17359</v>
      </c>
      <c r="V45" s="13">
        <v>2</v>
      </c>
      <c r="W45" s="13">
        <v>0</v>
      </c>
      <c r="X45" s="13">
        <v>0</v>
      </c>
      <c r="Y45" s="13">
        <v>0</v>
      </c>
      <c r="Z45" s="13">
        <v>0</v>
      </c>
      <c r="AA45" s="13">
        <v>0</v>
      </c>
      <c r="AB45" s="13">
        <v>0</v>
      </c>
      <c r="AC45" s="13">
        <v>0</v>
      </c>
      <c r="AD45" s="13">
        <v>0</v>
      </c>
    </row>
    <row r="46" spans="2:30">
      <c r="B46" s="10" t="s">
        <v>967</v>
      </c>
      <c r="C46" s="12"/>
      <c r="D46" s="10" t="s">
        <v>605</v>
      </c>
      <c r="E46" s="1"/>
      <c r="F46" s="13">
        <v>0</v>
      </c>
      <c r="G46" s="13">
        <v>0</v>
      </c>
      <c r="H46" s="13">
        <v>0</v>
      </c>
      <c r="I46" s="13">
        <v>0</v>
      </c>
      <c r="J46" s="13">
        <v>0</v>
      </c>
      <c r="K46" s="13">
        <v>0</v>
      </c>
      <c r="L46" s="13">
        <v>453318</v>
      </c>
      <c r="M46" s="13">
        <v>389697</v>
      </c>
      <c r="N46" s="13">
        <v>539173</v>
      </c>
      <c r="O46" s="13">
        <v>502377</v>
      </c>
      <c r="P46" s="13">
        <v>405886</v>
      </c>
      <c r="Q46" s="13">
        <v>650086</v>
      </c>
      <c r="R46" s="13">
        <v>616305</v>
      </c>
      <c r="S46" s="13">
        <v>247866</v>
      </c>
      <c r="T46" s="13">
        <v>340256</v>
      </c>
      <c r="U46" s="13">
        <v>516488</v>
      </c>
      <c r="V46" s="13">
        <v>422647</v>
      </c>
      <c r="W46" s="13">
        <v>415068</v>
      </c>
      <c r="X46" s="13">
        <v>213077</v>
      </c>
      <c r="Y46" s="13">
        <v>0</v>
      </c>
      <c r="Z46" s="13">
        <v>0</v>
      </c>
      <c r="AA46" s="13">
        <v>52928</v>
      </c>
      <c r="AB46" s="13">
        <v>18515</v>
      </c>
      <c r="AC46" s="13">
        <v>17802</v>
      </c>
      <c r="AD46" s="13">
        <v>17895</v>
      </c>
    </row>
    <row r="47" spans="2:30">
      <c r="B47" s="10" t="s">
        <v>16</v>
      </c>
      <c r="C47" s="12"/>
      <c r="D47" s="10" t="s">
        <v>640</v>
      </c>
      <c r="E47" s="1"/>
      <c r="F47" s="13">
        <v>0</v>
      </c>
      <c r="G47" s="13">
        <v>4489</v>
      </c>
      <c r="H47" s="13">
        <v>6301</v>
      </c>
      <c r="I47" s="13">
        <v>6301</v>
      </c>
      <c r="J47" s="13">
        <v>6301</v>
      </c>
      <c r="K47" s="13">
        <v>6301</v>
      </c>
      <c r="L47" s="13">
        <v>419</v>
      </c>
      <c r="M47" s="13">
        <v>419</v>
      </c>
      <c r="N47" s="13">
        <v>419</v>
      </c>
      <c r="O47" s="13">
        <v>419</v>
      </c>
      <c r="P47" s="13">
        <v>9724</v>
      </c>
      <c r="Q47" s="13">
        <v>12077</v>
      </c>
      <c r="R47" s="13">
        <v>12102</v>
      </c>
      <c r="S47" s="13">
        <v>12102</v>
      </c>
      <c r="T47" s="13">
        <v>8202</v>
      </c>
      <c r="U47" s="13">
        <v>6475</v>
      </c>
      <c r="V47" s="13">
        <v>6268</v>
      </c>
      <c r="W47" s="13">
        <v>4806</v>
      </c>
      <c r="X47" s="13">
        <v>342</v>
      </c>
      <c r="Y47" s="13">
        <v>171</v>
      </c>
      <c r="Z47" s="13">
        <v>171</v>
      </c>
      <c r="AA47" s="13">
        <v>1025</v>
      </c>
      <c r="AB47" s="13">
        <v>4728</v>
      </c>
      <c r="AC47" s="13">
        <v>4728</v>
      </c>
      <c r="AD47" s="13">
        <v>4728</v>
      </c>
    </row>
    <row r="48" spans="2:30">
      <c r="B48" s="10" t="s">
        <v>1203</v>
      </c>
      <c r="C48" s="12"/>
      <c r="D48" s="10" t="s">
        <v>1204</v>
      </c>
      <c r="E48" s="1"/>
      <c r="F48" s="13"/>
      <c r="G48" s="13"/>
      <c r="H48" s="13"/>
      <c r="I48" s="13"/>
      <c r="J48" s="13"/>
      <c r="K48" s="13"/>
      <c r="L48" s="13"/>
      <c r="M48" s="13"/>
      <c r="N48" s="13"/>
      <c r="O48" s="13"/>
      <c r="P48" s="13"/>
      <c r="Q48" s="13"/>
      <c r="R48" s="13"/>
      <c r="S48" s="13"/>
      <c r="T48" s="13"/>
      <c r="U48" s="13"/>
      <c r="V48" s="13"/>
      <c r="W48" s="13"/>
      <c r="X48" s="13"/>
      <c r="Y48" s="13"/>
      <c r="Z48" s="13"/>
      <c r="AA48" s="13"/>
      <c r="AB48" s="13">
        <v>100000</v>
      </c>
      <c r="AC48" s="13">
        <v>100000</v>
      </c>
      <c r="AD48" s="13">
        <v>100000</v>
      </c>
    </row>
    <row r="49" spans="2:30">
      <c r="B49" s="10" t="s">
        <v>17</v>
      </c>
      <c r="C49" s="12"/>
      <c r="D49" s="10" t="s">
        <v>704</v>
      </c>
      <c r="E49" s="1"/>
      <c r="F49" s="13">
        <v>21</v>
      </c>
      <c r="G49" s="13">
        <v>390</v>
      </c>
      <c r="H49" s="13">
        <v>1170</v>
      </c>
      <c r="I49" s="13">
        <v>467</v>
      </c>
      <c r="J49" s="13">
        <v>76</v>
      </c>
      <c r="K49" s="13">
        <v>18209</v>
      </c>
      <c r="L49" s="13">
        <v>30588</v>
      </c>
      <c r="M49" s="13">
        <v>30912</v>
      </c>
      <c r="N49" s="13">
        <v>43417</v>
      </c>
      <c r="O49" s="13">
        <v>66866</v>
      </c>
      <c r="P49" s="13">
        <v>12490</v>
      </c>
      <c r="Q49" s="13">
        <v>12111</v>
      </c>
      <c r="R49" s="13">
        <v>16581</v>
      </c>
      <c r="S49" s="13">
        <v>22284</v>
      </c>
      <c r="T49" s="13">
        <v>34712</v>
      </c>
      <c r="U49" s="13">
        <v>8165</v>
      </c>
      <c r="V49" s="13">
        <v>25171</v>
      </c>
      <c r="W49" s="13">
        <v>21149</v>
      </c>
      <c r="X49" s="13">
        <v>12657</v>
      </c>
      <c r="Y49" s="13">
        <v>19458</v>
      </c>
      <c r="Z49" s="13">
        <v>6983</v>
      </c>
      <c r="AA49" s="13">
        <v>10780</v>
      </c>
      <c r="AB49" s="13">
        <v>6866</v>
      </c>
      <c r="AC49" s="13">
        <v>62397</v>
      </c>
      <c r="AD49" s="13">
        <v>33877</v>
      </c>
    </row>
    <row r="50" spans="2:30" ht="4.5" customHeight="1" thickBot="1">
      <c r="B50" s="10"/>
      <c r="C50" s="15"/>
      <c r="D50" s="10"/>
      <c r="E50" s="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row>
    <row r="51" spans="2:30" ht="13.5" thickBot="1">
      <c r="B51" s="28" t="s">
        <v>77</v>
      </c>
      <c r="C51" s="26"/>
      <c r="D51" s="28" t="s">
        <v>607</v>
      </c>
      <c r="E51" s="27"/>
      <c r="F51" s="40">
        <v>52227</v>
      </c>
      <c r="G51" s="40">
        <v>142192.97475887777</v>
      </c>
      <c r="H51" s="40">
        <v>354561</v>
      </c>
      <c r="I51" s="40">
        <v>493348</v>
      </c>
      <c r="J51" s="40">
        <v>596046</v>
      </c>
      <c r="K51" s="40">
        <v>661471</v>
      </c>
      <c r="L51" s="40">
        <v>1244530</v>
      </c>
      <c r="M51" s="40">
        <v>1450945</v>
      </c>
      <c r="N51" s="40">
        <v>1692175</v>
      </c>
      <c r="O51" s="40">
        <f t="shared" ref="O51:X51" si="6">SUM(O38:O49)</f>
        <v>1330695</v>
      </c>
      <c r="P51" s="40">
        <f t="shared" si="6"/>
        <v>1391367</v>
      </c>
      <c r="Q51" s="40">
        <f t="shared" si="6"/>
        <v>1688790</v>
      </c>
      <c r="R51" s="40">
        <f t="shared" si="6"/>
        <v>1396840</v>
      </c>
      <c r="S51" s="40">
        <f t="shared" si="6"/>
        <v>1159296</v>
      </c>
      <c r="T51" s="40">
        <f t="shared" si="6"/>
        <v>1065860</v>
      </c>
      <c r="U51" s="40">
        <f t="shared" si="6"/>
        <v>1154580</v>
      </c>
      <c r="V51" s="40">
        <f t="shared" si="6"/>
        <v>1072486</v>
      </c>
      <c r="W51" s="40">
        <f t="shared" si="6"/>
        <v>1010567</v>
      </c>
      <c r="X51" s="40">
        <f t="shared" si="6"/>
        <v>732356</v>
      </c>
      <c r="Y51" s="40">
        <f t="shared" ref="Y51" si="7">SUM(Y38:Y49)</f>
        <v>636063</v>
      </c>
      <c r="Z51" s="40">
        <f t="shared" ref="Z51:AA51" si="8">SUM(Z38:Z49)</f>
        <v>510951</v>
      </c>
      <c r="AA51" s="40">
        <f t="shared" si="8"/>
        <v>643225</v>
      </c>
      <c r="AB51" s="40">
        <f t="shared" ref="AB51" si="9">SUM(AB38:AB49)</f>
        <v>619377</v>
      </c>
      <c r="AC51" s="40">
        <v>1031771</v>
      </c>
      <c r="AD51" s="40">
        <f t="shared" ref="AD51" si="10">SUM(AD38:AD49)</f>
        <v>747784</v>
      </c>
    </row>
    <row r="52" spans="2:30">
      <c r="C52" s="12"/>
      <c r="F52" s="5"/>
      <c r="G52" s="5"/>
      <c r="H52" s="6"/>
      <c r="I52" s="6"/>
      <c r="J52" s="6"/>
      <c r="K52" s="6"/>
      <c r="L52" s="6"/>
      <c r="M52" s="6"/>
      <c r="N52" s="6"/>
      <c r="O52" s="6"/>
      <c r="P52" s="6"/>
      <c r="Q52" s="6"/>
      <c r="R52" s="6"/>
      <c r="S52" s="6"/>
      <c r="T52" s="6"/>
      <c r="U52" s="6"/>
      <c r="V52" s="6"/>
      <c r="W52" s="6"/>
      <c r="X52" s="6"/>
      <c r="Y52" s="6"/>
      <c r="Z52" s="6"/>
      <c r="AA52" s="6"/>
      <c r="AB52" s="6"/>
      <c r="AC52" s="6"/>
      <c r="AD52" s="6"/>
    </row>
    <row r="53" spans="2:30">
      <c r="B53" s="7" t="s">
        <v>70</v>
      </c>
      <c r="C53" s="12"/>
      <c r="D53" s="7" t="s">
        <v>700</v>
      </c>
      <c r="E53" s="1"/>
      <c r="F53" s="8"/>
      <c r="G53" s="8"/>
      <c r="H53" s="8"/>
      <c r="I53" s="8"/>
      <c r="J53" s="8"/>
      <c r="K53" s="8"/>
      <c r="L53" s="8"/>
      <c r="M53" s="8"/>
      <c r="N53" s="8"/>
      <c r="O53" s="8"/>
      <c r="P53" s="8"/>
      <c r="Q53" s="8"/>
      <c r="R53" s="8"/>
      <c r="S53" s="8"/>
      <c r="T53" s="8"/>
      <c r="U53" s="8"/>
      <c r="V53" s="8"/>
      <c r="W53" s="8"/>
      <c r="X53" s="8"/>
      <c r="Y53" s="8"/>
      <c r="Z53" s="8"/>
      <c r="AA53" s="8"/>
      <c r="AB53" s="8"/>
      <c r="AC53" s="8"/>
      <c r="AD53" s="8"/>
    </row>
    <row r="54" spans="2:30">
      <c r="B54" s="10" t="s">
        <v>1087</v>
      </c>
      <c r="C54" s="12"/>
      <c r="D54" s="10" t="s">
        <v>601</v>
      </c>
      <c r="E54" s="1"/>
      <c r="F54" s="13">
        <v>0</v>
      </c>
      <c r="G54" s="13">
        <v>0</v>
      </c>
      <c r="H54" s="13">
        <v>0</v>
      </c>
      <c r="I54" s="13">
        <v>0</v>
      </c>
      <c r="J54" s="13">
        <v>0</v>
      </c>
      <c r="K54" s="13">
        <v>0</v>
      </c>
      <c r="L54" s="13">
        <v>0</v>
      </c>
      <c r="M54" s="13">
        <v>0</v>
      </c>
      <c r="N54" s="13">
        <v>0</v>
      </c>
      <c r="O54" s="13">
        <v>0</v>
      </c>
      <c r="P54" s="13">
        <v>0</v>
      </c>
      <c r="Q54" s="13">
        <v>0</v>
      </c>
      <c r="R54" s="13">
        <v>0</v>
      </c>
      <c r="S54" s="13">
        <v>0</v>
      </c>
      <c r="T54" s="13">
        <v>130476</v>
      </c>
      <c r="U54" s="13">
        <v>130476</v>
      </c>
      <c r="V54" s="13">
        <v>130476</v>
      </c>
      <c r="W54" s="13">
        <v>130476</v>
      </c>
      <c r="X54" s="13">
        <v>130476</v>
      </c>
      <c r="Y54" s="13">
        <v>130476</v>
      </c>
      <c r="Z54" s="13">
        <v>130476</v>
      </c>
      <c r="AA54" s="13">
        <v>130476</v>
      </c>
      <c r="AB54" s="13">
        <v>130476</v>
      </c>
      <c r="AC54" s="13">
        <v>130476</v>
      </c>
      <c r="AD54" s="13">
        <v>130476</v>
      </c>
    </row>
    <row r="55" spans="2:30">
      <c r="B55" s="10" t="s">
        <v>1088</v>
      </c>
      <c r="C55" s="12"/>
      <c r="D55" s="10" t="s">
        <v>705</v>
      </c>
      <c r="E55" s="1"/>
      <c r="F55" s="13">
        <v>4308</v>
      </c>
      <c r="G55" s="13">
        <v>708699</v>
      </c>
      <c r="H55" s="13">
        <v>681109</v>
      </c>
      <c r="I55" s="13">
        <v>695443</v>
      </c>
      <c r="J55" s="13">
        <v>543188</v>
      </c>
      <c r="K55" s="13">
        <v>519872</v>
      </c>
      <c r="L55" s="13">
        <v>459529</v>
      </c>
      <c r="M55" s="13">
        <v>327079</v>
      </c>
      <c r="N55" s="13">
        <v>290474</v>
      </c>
      <c r="O55" s="13">
        <v>665134</v>
      </c>
      <c r="P55" s="13">
        <v>641570</v>
      </c>
      <c r="Q55" s="13">
        <v>578870</v>
      </c>
      <c r="R55" s="13">
        <v>549007</v>
      </c>
      <c r="S55" s="13">
        <v>804025</v>
      </c>
      <c r="T55" s="13">
        <v>760208</v>
      </c>
      <c r="U55" s="13">
        <v>723130</v>
      </c>
      <c r="V55" s="13">
        <v>787315</v>
      </c>
      <c r="W55" s="13">
        <v>480973</v>
      </c>
      <c r="X55" s="13">
        <v>0</v>
      </c>
      <c r="Y55" s="13">
        <v>0</v>
      </c>
      <c r="Z55" s="13">
        <v>0</v>
      </c>
      <c r="AA55" s="13">
        <v>0</v>
      </c>
      <c r="AB55" s="13">
        <v>0</v>
      </c>
      <c r="AC55" s="13">
        <v>0</v>
      </c>
      <c r="AD55" s="13">
        <v>0</v>
      </c>
    </row>
    <row r="56" spans="2:30">
      <c r="B56" s="10" t="s">
        <v>1086</v>
      </c>
      <c r="C56" s="12"/>
      <c r="D56" s="10"/>
      <c r="E56" s="1"/>
      <c r="F56" s="13"/>
      <c r="G56" s="13"/>
      <c r="H56" s="13"/>
      <c r="I56" s="13"/>
      <c r="J56" s="13"/>
      <c r="K56" s="13"/>
      <c r="L56" s="13"/>
      <c r="M56" s="13"/>
      <c r="N56" s="13"/>
      <c r="O56" s="13"/>
      <c r="P56" s="13"/>
      <c r="Q56" s="13"/>
      <c r="R56" s="13"/>
      <c r="S56" s="13"/>
      <c r="T56" s="13"/>
      <c r="U56" s="13"/>
      <c r="V56" s="13">
        <v>1104903</v>
      </c>
      <c r="W56" s="13">
        <v>1111002</v>
      </c>
      <c r="X56" s="13">
        <v>1771414</v>
      </c>
      <c r="Y56" s="13">
        <v>1788205</v>
      </c>
      <c r="Z56" s="13">
        <v>1797885</v>
      </c>
      <c r="AA56" s="13">
        <v>2301589</v>
      </c>
      <c r="AB56" s="13">
        <v>3040102</v>
      </c>
      <c r="AC56" s="13">
        <v>3066158</v>
      </c>
      <c r="AD56" s="13">
        <v>3098784</v>
      </c>
    </row>
    <row r="57" spans="2:30">
      <c r="B57" s="10" t="s">
        <v>1089</v>
      </c>
      <c r="C57" s="12"/>
      <c r="D57" s="10" t="s">
        <v>703</v>
      </c>
      <c r="E57" s="1"/>
      <c r="F57" s="13">
        <v>834</v>
      </c>
      <c r="G57" s="13">
        <v>11067.025241122246</v>
      </c>
      <c r="H57" s="13">
        <v>7646</v>
      </c>
      <c r="I57" s="13">
        <v>5841</v>
      </c>
      <c r="J57" s="13">
        <v>3263</v>
      </c>
      <c r="K57" s="13">
        <v>2816</v>
      </c>
      <c r="L57" s="13">
        <v>2421</v>
      </c>
      <c r="M57" s="13">
        <v>3266</v>
      </c>
      <c r="N57" s="13">
        <v>4861</v>
      </c>
      <c r="O57" s="13">
        <v>3423</v>
      </c>
      <c r="P57" s="13">
        <v>7112</v>
      </c>
      <c r="Q57" s="13">
        <v>19502</v>
      </c>
      <c r="R57" s="13">
        <v>15903</v>
      </c>
      <c r="S57" s="13">
        <v>12883</v>
      </c>
      <c r="T57" s="13">
        <v>10570</v>
      </c>
      <c r="U57" s="13">
        <v>9307</v>
      </c>
      <c r="V57" s="13">
        <v>7303</v>
      </c>
      <c r="W57" s="13">
        <v>5908</v>
      </c>
      <c r="X57" s="13">
        <v>5099</v>
      </c>
      <c r="Y57" s="13">
        <v>4728</v>
      </c>
      <c r="Z57" s="13">
        <v>10878</v>
      </c>
      <c r="AA57" s="13">
        <v>9727</v>
      </c>
      <c r="AB57" s="13">
        <v>7122</v>
      </c>
      <c r="AC57" s="13">
        <v>23216</v>
      </c>
      <c r="AD57" s="13">
        <v>21820</v>
      </c>
    </row>
    <row r="58" spans="2:30">
      <c r="B58" s="10" t="s">
        <v>12</v>
      </c>
      <c r="C58" s="12"/>
      <c r="D58" s="10" t="s">
        <v>748</v>
      </c>
      <c r="E58" s="1"/>
      <c r="F58" s="13">
        <v>0</v>
      </c>
      <c r="G58" s="13">
        <v>0</v>
      </c>
      <c r="H58" s="13">
        <v>0</v>
      </c>
      <c r="I58" s="13">
        <v>0</v>
      </c>
      <c r="J58" s="13">
        <v>0</v>
      </c>
      <c r="K58" s="13">
        <v>0</v>
      </c>
      <c r="L58" s="13">
        <v>0</v>
      </c>
      <c r="M58" s="13">
        <v>0</v>
      </c>
      <c r="N58" s="13">
        <v>2116</v>
      </c>
      <c r="O58" s="13">
        <v>3290</v>
      </c>
      <c r="P58" s="13">
        <v>6112</v>
      </c>
      <c r="Q58" s="13">
        <v>6748</v>
      </c>
      <c r="R58" s="13">
        <v>2211</v>
      </c>
      <c r="S58" s="13">
        <v>3355</v>
      </c>
      <c r="T58" s="13">
        <v>0</v>
      </c>
      <c r="U58" s="13">
        <v>0</v>
      </c>
      <c r="V58" s="13">
        <v>0</v>
      </c>
      <c r="W58" s="13">
        <v>0</v>
      </c>
      <c r="X58" s="13">
        <v>0</v>
      </c>
      <c r="Y58" s="13">
        <v>0</v>
      </c>
      <c r="Z58" s="13">
        <v>0</v>
      </c>
      <c r="AA58" s="13">
        <v>0</v>
      </c>
      <c r="AB58" s="13">
        <v>0</v>
      </c>
      <c r="AC58" s="13">
        <v>0</v>
      </c>
      <c r="AD58" s="13">
        <v>0</v>
      </c>
    </row>
    <row r="59" spans="2:30">
      <c r="B59" s="10" t="s">
        <v>1090</v>
      </c>
      <c r="C59" s="12"/>
      <c r="D59" s="10" t="s">
        <v>637</v>
      </c>
      <c r="E59" s="1"/>
      <c r="F59" s="13">
        <v>0</v>
      </c>
      <c r="G59" s="13">
        <v>6079</v>
      </c>
      <c r="H59" s="13">
        <v>17886</v>
      </c>
      <c r="I59" s="13">
        <v>89836</v>
      </c>
      <c r="J59" s="13">
        <v>196645</v>
      </c>
      <c r="K59" s="13">
        <v>236619</v>
      </c>
      <c r="L59" s="13">
        <v>233559</v>
      </c>
      <c r="M59" s="13">
        <v>347494</v>
      </c>
      <c r="N59" s="13">
        <v>302214</v>
      </c>
      <c r="O59" s="13">
        <v>119329</v>
      </c>
      <c r="P59" s="13">
        <v>102409</v>
      </c>
      <c r="Q59" s="13">
        <v>41152</v>
      </c>
      <c r="R59" s="13">
        <v>19635</v>
      </c>
      <c r="S59" s="13">
        <v>7932</v>
      </c>
      <c r="T59" s="13">
        <v>0</v>
      </c>
      <c r="U59" s="13">
        <v>0</v>
      </c>
      <c r="V59" s="13">
        <v>135529</v>
      </c>
      <c r="W59" s="13">
        <v>142883</v>
      </c>
      <c r="X59" s="13">
        <v>367837</v>
      </c>
      <c r="Y59" s="13">
        <v>228879</v>
      </c>
      <c r="Z59" s="13">
        <v>107765</v>
      </c>
      <c r="AA59" s="13">
        <v>28455</v>
      </c>
      <c r="AB59" s="13">
        <v>88449</v>
      </c>
      <c r="AC59" s="13">
        <v>223887</v>
      </c>
      <c r="AD59" s="13">
        <v>160991</v>
      </c>
    </row>
    <row r="60" spans="2:30">
      <c r="B60" s="10" t="s">
        <v>738</v>
      </c>
      <c r="C60" s="12"/>
      <c r="D60" s="10" t="s">
        <v>739</v>
      </c>
      <c r="E60" s="1"/>
      <c r="F60" s="13">
        <v>13926</v>
      </c>
      <c r="G60" s="13">
        <v>5815</v>
      </c>
      <c r="H60" s="13">
        <v>0</v>
      </c>
      <c r="I60" s="13">
        <v>0</v>
      </c>
      <c r="J60" s="13">
        <v>0</v>
      </c>
      <c r="K60" s="13">
        <v>0</v>
      </c>
      <c r="L60" s="13">
        <v>5672</v>
      </c>
      <c r="M60" s="13">
        <v>52992</v>
      </c>
      <c r="N60" s="13">
        <v>23952</v>
      </c>
      <c r="O60" s="13">
        <v>2340</v>
      </c>
      <c r="P60" s="13">
        <v>6023</v>
      </c>
      <c r="Q60" s="13">
        <v>0</v>
      </c>
      <c r="R60" s="13">
        <v>11797</v>
      </c>
      <c r="S60" s="13">
        <v>20947</v>
      </c>
      <c r="T60" s="13">
        <v>0</v>
      </c>
      <c r="U60" s="13">
        <v>10172</v>
      </c>
      <c r="V60" s="13">
        <v>0</v>
      </c>
      <c r="W60" s="13">
        <v>0</v>
      </c>
      <c r="X60" s="13">
        <v>0</v>
      </c>
      <c r="Y60" s="13">
        <v>0</v>
      </c>
      <c r="Z60" s="13">
        <v>1275</v>
      </c>
      <c r="AA60" s="13">
        <v>26249</v>
      </c>
      <c r="AB60" s="13">
        <v>60324</v>
      </c>
      <c r="AC60" s="13">
        <v>0</v>
      </c>
      <c r="AD60" s="13">
        <v>38613</v>
      </c>
    </row>
    <row r="61" spans="2:30">
      <c r="B61" s="10" t="s">
        <v>967</v>
      </c>
      <c r="C61" s="12"/>
      <c r="D61" s="10" t="s">
        <v>605</v>
      </c>
      <c r="E61" s="1"/>
      <c r="F61" s="13">
        <v>0</v>
      </c>
      <c r="G61" s="13">
        <v>0</v>
      </c>
      <c r="H61" s="13">
        <v>0</v>
      </c>
      <c r="I61" s="13">
        <v>0</v>
      </c>
      <c r="J61" s="13">
        <v>0</v>
      </c>
      <c r="K61" s="13">
        <v>0</v>
      </c>
      <c r="L61" s="13">
        <v>809731</v>
      </c>
      <c r="M61" s="13">
        <v>690018</v>
      </c>
      <c r="N61" s="13">
        <v>620592</v>
      </c>
      <c r="O61" s="13">
        <v>639429</v>
      </c>
      <c r="P61" s="13">
        <v>512386</v>
      </c>
      <c r="Q61" s="13">
        <v>359963</v>
      </c>
      <c r="R61" s="13">
        <v>342190</v>
      </c>
      <c r="S61" s="13">
        <v>356333</v>
      </c>
      <c r="T61" s="13">
        <v>145239</v>
      </c>
      <c r="U61" s="13">
        <v>0</v>
      </c>
      <c r="V61" s="13">
        <v>0</v>
      </c>
      <c r="W61" s="13">
        <v>0</v>
      </c>
      <c r="X61" s="13">
        <v>0</v>
      </c>
      <c r="Y61" s="13">
        <v>0</v>
      </c>
      <c r="Z61" s="13">
        <v>0</v>
      </c>
      <c r="AA61" s="13">
        <v>0</v>
      </c>
      <c r="AB61" s="13">
        <v>0</v>
      </c>
      <c r="AC61" s="13">
        <v>0</v>
      </c>
      <c r="AD61" s="13">
        <v>0</v>
      </c>
    </row>
    <row r="62" spans="2:30">
      <c r="B62" s="10" t="s">
        <v>968</v>
      </c>
      <c r="C62" s="12"/>
      <c r="D62" s="10" t="s">
        <v>969</v>
      </c>
      <c r="E62" s="1"/>
      <c r="F62" s="13">
        <v>2105</v>
      </c>
      <c r="G62" s="13">
        <v>2777</v>
      </c>
      <c r="H62" s="13">
        <v>4965</v>
      </c>
      <c r="I62" s="13">
        <v>4965</v>
      </c>
      <c r="J62" s="13">
        <v>5180</v>
      </c>
      <c r="K62" s="13">
        <v>3745</v>
      </c>
      <c r="L62" s="13">
        <v>3443</v>
      </c>
      <c r="M62" s="13">
        <v>3243</v>
      </c>
      <c r="N62" s="13">
        <v>3350</v>
      </c>
      <c r="O62" s="13">
        <v>3758</v>
      </c>
      <c r="P62" s="13">
        <v>3726</v>
      </c>
      <c r="Q62" s="13">
        <v>5567</v>
      </c>
      <c r="R62" s="13">
        <v>5217</v>
      </c>
      <c r="S62" s="13">
        <v>5169</v>
      </c>
      <c r="T62" s="13">
        <v>5299</v>
      </c>
      <c r="U62" s="13">
        <v>6445</v>
      </c>
      <c r="V62" s="13">
        <v>6167</v>
      </c>
      <c r="W62" s="13">
        <v>47649</v>
      </c>
      <c r="X62" s="13">
        <v>47923</v>
      </c>
      <c r="Y62" s="13">
        <v>51077</v>
      </c>
      <c r="Z62" s="13">
        <v>50132</v>
      </c>
      <c r="AA62" s="13">
        <v>48116</v>
      </c>
      <c r="AB62" s="13">
        <v>47946</v>
      </c>
      <c r="AC62" s="13">
        <v>47844</v>
      </c>
      <c r="AD62" s="13">
        <v>50175</v>
      </c>
    </row>
    <row r="63" spans="2:30">
      <c r="B63" s="10" t="s">
        <v>1091</v>
      </c>
      <c r="C63" s="12"/>
      <c r="D63" s="10" t="s">
        <v>640</v>
      </c>
      <c r="E63" s="1"/>
      <c r="F63" s="13">
        <v>10902</v>
      </c>
      <c r="G63" s="13">
        <v>25493</v>
      </c>
      <c r="H63" s="13">
        <v>33810</v>
      </c>
      <c r="I63" s="13">
        <v>35875</v>
      </c>
      <c r="J63" s="13">
        <v>37248</v>
      </c>
      <c r="K63" s="13">
        <v>38732</v>
      </c>
      <c r="L63" s="13">
        <v>84695</v>
      </c>
      <c r="M63" s="13">
        <v>87393</v>
      </c>
      <c r="N63" s="13">
        <v>90092</v>
      </c>
      <c r="O63" s="13">
        <v>92792</v>
      </c>
      <c r="P63" s="13">
        <v>103887</v>
      </c>
      <c r="Q63" s="13">
        <v>107216</v>
      </c>
      <c r="R63" s="13">
        <v>110183</v>
      </c>
      <c r="S63" s="13">
        <v>113505</v>
      </c>
      <c r="T63" s="13">
        <v>181422</v>
      </c>
      <c r="U63" s="13">
        <v>185987</v>
      </c>
      <c r="V63" s="13">
        <v>190436</v>
      </c>
      <c r="W63" s="13">
        <v>195119</v>
      </c>
      <c r="X63" s="13">
        <v>136630</v>
      </c>
      <c r="Y63" s="13">
        <v>140370</v>
      </c>
      <c r="Z63" s="13">
        <v>144109</v>
      </c>
      <c r="AA63" s="13">
        <v>143946</v>
      </c>
      <c r="AB63" s="13">
        <v>140464</v>
      </c>
      <c r="AC63" s="13">
        <v>144281</v>
      </c>
      <c r="AD63" s="13">
        <v>148098</v>
      </c>
    </row>
    <row r="64" spans="2:30">
      <c r="B64" s="10" t="s">
        <v>1203</v>
      </c>
      <c r="C64" s="12"/>
      <c r="D64" s="10" t="s">
        <v>1204</v>
      </c>
      <c r="E64" s="1"/>
      <c r="F64" s="13"/>
      <c r="G64" s="13"/>
      <c r="H64" s="13"/>
      <c r="I64" s="13"/>
      <c r="J64" s="13"/>
      <c r="K64" s="13"/>
      <c r="L64" s="13"/>
      <c r="M64" s="13"/>
      <c r="N64" s="13"/>
      <c r="O64" s="13"/>
      <c r="P64" s="13"/>
      <c r="Q64" s="13"/>
      <c r="R64" s="13"/>
      <c r="S64" s="13"/>
      <c r="T64" s="13"/>
      <c r="U64" s="13"/>
      <c r="V64" s="13">
        <v>0</v>
      </c>
      <c r="W64" s="13">
        <v>0</v>
      </c>
      <c r="X64" s="13">
        <v>0</v>
      </c>
      <c r="Y64" s="13">
        <v>0</v>
      </c>
      <c r="Z64" s="13">
        <v>0</v>
      </c>
      <c r="AA64" s="13">
        <v>0</v>
      </c>
      <c r="AB64" s="13">
        <v>200000</v>
      </c>
      <c r="AC64" s="13">
        <v>200000</v>
      </c>
      <c r="AD64" s="13">
        <v>200000</v>
      </c>
    </row>
    <row r="65" spans="2:30">
      <c r="B65" s="10" t="s">
        <v>17</v>
      </c>
      <c r="C65" s="12"/>
      <c r="D65" s="10" t="s">
        <v>606</v>
      </c>
      <c r="E65" s="1"/>
      <c r="F65" s="13">
        <v>0</v>
      </c>
      <c r="G65" s="13">
        <v>0</v>
      </c>
      <c r="H65" s="13">
        <v>0</v>
      </c>
      <c r="I65" s="13">
        <v>0</v>
      </c>
      <c r="J65" s="13">
        <v>0</v>
      </c>
      <c r="K65" s="13">
        <v>0</v>
      </c>
      <c r="L65" s="13">
        <v>0</v>
      </c>
      <c r="M65" s="13">
        <v>0</v>
      </c>
      <c r="N65" s="13">
        <v>0</v>
      </c>
      <c r="O65" s="13">
        <v>0</v>
      </c>
      <c r="P65" s="13">
        <v>0</v>
      </c>
      <c r="Q65" s="13">
        <v>0</v>
      </c>
      <c r="R65" s="13">
        <v>0</v>
      </c>
      <c r="S65" s="13">
        <v>0</v>
      </c>
      <c r="T65" s="13">
        <v>12227</v>
      </c>
      <c r="U65" s="13">
        <v>13596</v>
      </c>
      <c r="V65" s="13">
        <v>9303</v>
      </c>
      <c r="W65" s="13">
        <v>10026</v>
      </c>
      <c r="X65" s="13">
        <v>10559</v>
      </c>
      <c r="Y65" s="13">
        <v>11342</v>
      </c>
      <c r="Z65" s="13">
        <v>9743</v>
      </c>
      <c r="AA65" s="13">
        <v>2560</v>
      </c>
      <c r="AB65" s="13">
        <v>3039</v>
      </c>
      <c r="AC65" s="13">
        <v>4495</v>
      </c>
      <c r="AD65" s="13">
        <v>1568</v>
      </c>
    </row>
    <row r="66" spans="2:30" ht="4.5" customHeight="1" thickBot="1">
      <c r="B66" s="10"/>
      <c r="C66" s="15"/>
      <c r="D66" s="10"/>
      <c r="E66" s="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row>
    <row r="67" spans="2:30" ht="13.5" thickBot="1">
      <c r="B67" s="28" t="s">
        <v>78</v>
      </c>
      <c r="C67" s="26"/>
      <c r="D67" s="28" t="s">
        <v>608</v>
      </c>
      <c r="E67" s="27"/>
      <c r="F67" s="40">
        <f t="shared" ref="F67:S67" si="11">SUM(F54:F65)</f>
        <v>32075</v>
      </c>
      <c r="G67" s="40">
        <f t="shared" si="11"/>
        <v>759930.02524112223</v>
      </c>
      <c r="H67" s="40">
        <f t="shared" si="11"/>
        <v>745416</v>
      </c>
      <c r="I67" s="40">
        <f t="shared" si="11"/>
        <v>831960</v>
      </c>
      <c r="J67" s="40">
        <f t="shared" si="11"/>
        <v>785524</v>
      </c>
      <c r="K67" s="40">
        <f t="shared" si="11"/>
        <v>801784</v>
      </c>
      <c r="L67" s="40">
        <f t="shared" si="11"/>
        <v>1599050</v>
      </c>
      <c r="M67" s="40">
        <f t="shared" si="11"/>
        <v>1511485</v>
      </c>
      <c r="N67" s="40">
        <f t="shared" si="11"/>
        <v>1337651</v>
      </c>
      <c r="O67" s="40">
        <f t="shared" si="11"/>
        <v>1529495</v>
      </c>
      <c r="P67" s="40">
        <f t="shared" si="11"/>
        <v>1383225</v>
      </c>
      <c r="Q67" s="40">
        <f t="shared" si="11"/>
        <v>1119018</v>
      </c>
      <c r="R67" s="40">
        <f t="shared" si="11"/>
        <v>1056143</v>
      </c>
      <c r="S67" s="40">
        <f t="shared" si="11"/>
        <v>1324149</v>
      </c>
      <c r="T67" s="40">
        <f t="shared" ref="T67:Y67" si="12">SUM(T54:T65)</f>
        <v>1245441</v>
      </c>
      <c r="U67" s="40">
        <f t="shared" si="12"/>
        <v>1079113</v>
      </c>
      <c r="V67" s="40">
        <f t="shared" si="12"/>
        <v>2371432</v>
      </c>
      <c r="W67" s="40">
        <f t="shared" si="12"/>
        <v>2124036</v>
      </c>
      <c r="X67" s="40">
        <f t="shared" si="12"/>
        <v>2469938</v>
      </c>
      <c r="Y67" s="40">
        <f t="shared" si="12"/>
        <v>2355077</v>
      </c>
      <c r="Z67" s="40">
        <f t="shared" ref="Z67:AA67" si="13">SUM(Z54:Z65)</f>
        <v>2252263</v>
      </c>
      <c r="AA67" s="40">
        <f t="shared" si="13"/>
        <v>2691118</v>
      </c>
      <c r="AB67" s="40">
        <f t="shared" ref="AB67" si="14">SUM(AB54:AB65)</f>
        <v>3717922</v>
      </c>
      <c r="AC67" s="40">
        <v>3840357</v>
      </c>
      <c r="AD67" s="40">
        <f t="shared" ref="AD67" si="15">SUM(AD54:AD65)</f>
        <v>3850525</v>
      </c>
    </row>
    <row r="68" spans="2:30" ht="15" thickBot="1">
      <c r="B68" s="10"/>
      <c r="C68" s="15"/>
      <c r="D68" s="10"/>
      <c r="E68" s="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row>
    <row r="69" spans="2:30" ht="13.5" thickBot="1">
      <c r="B69" s="28" t="s">
        <v>76</v>
      </c>
      <c r="C69" s="30"/>
      <c r="D69" s="28" t="s">
        <v>609</v>
      </c>
      <c r="E69" s="27"/>
      <c r="F69" s="41">
        <v>84302</v>
      </c>
      <c r="G69" s="41">
        <v>902123</v>
      </c>
      <c r="H69" s="41">
        <v>1099977</v>
      </c>
      <c r="I69" s="41">
        <v>1325308</v>
      </c>
      <c r="J69" s="41">
        <v>1381570</v>
      </c>
      <c r="K69" s="41">
        <v>1463255</v>
      </c>
      <c r="L69" s="41">
        <v>2843580</v>
      </c>
      <c r="M69" s="41">
        <v>2962430</v>
      </c>
      <c r="N69" s="41">
        <v>3029826</v>
      </c>
      <c r="O69" s="41">
        <f t="shared" ref="O69:T69" si="16">O67+O51</f>
        <v>2860190</v>
      </c>
      <c r="P69" s="41">
        <f t="shared" si="16"/>
        <v>2774592</v>
      </c>
      <c r="Q69" s="41">
        <f t="shared" si="16"/>
        <v>2807808</v>
      </c>
      <c r="R69" s="41">
        <f t="shared" si="16"/>
        <v>2452983</v>
      </c>
      <c r="S69" s="41">
        <f t="shared" si="16"/>
        <v>2483445</v>
      </c>
      <c r="T69" s="41">
        <f t="shared" si="16"/>
        <v>2311301</v>
      </c>
      <c r="U69" s="41">
        <f t="shared" ref="U69:Z69" si="17">U67+U51</f>
        <v>2233693</v>
      </c>
      <c r="V69" s="41">
        <f t="shared" si="17"/>
        <v>3443918</v>
      </c>
      <c r="W69" s="41">
        <f t="shared" si="17"/>
        <v>3134603</v>
      </c>
      <c r="X69" s="41">
        <f t="shared" si="17"/>
        <v>3202294</v>
      </c>
      <c r="Y69" s="41">
        <f t="shared" si="17"/>
        <v>2991140</v>
      </c>
      <c r="Z69" s="41">
        <f t="shared" si="17"/>
        <v>2763214</v>
      </c>
      <c r="AA69" s="41">
        <f t="shared" ref="AA69:AB69" si="18">AA67+AA51</f>
        <v>3334343</v>
      </c>
      <c r="AB69" s="41">
        <f t="shared" si="18"/>
        <v>4337299</v>
      </c>
      <c r="AC69" s="41">
        <v>4872128</v>
      </c>
      <c r="AD69" s="41">
        <f t="shared" ref="AD69" si="19">AD67+AD51</f>
        <v>4598309</v>
      </c>
    </row>
    <row r="70" spans="2:30">
      <c r="B70" s="10"/>
      <c r="C70" s="12"/>
      <c r="D70" s="10"/>
      <c r="E70" s="1"/>
      <c r="F70" s="8"/>
      <c r="G70" s="8"/>
      <c r="H70" s="8"/>
      <c r="I70" s="8"/>
      <c r="J70" s="8"/>
      <c r="K70" s="8"/>
      <c r="L70" s="8"/>
      <c r="M70" s="8"/>
      <c r="N70" s="8"/>
      <c r="O70" s="8"/>
      <c r="P70" s="8"/>
      <c r="Q70" s="8"/>
      <c r="R70" s="8"/>
      <c r="S70" s="8"/>
      <c r="T70" s="8"/>
      <c r="U70" s="8"/>
      <c r="V70" s="8"/>
      <c r="W70" s="8"/>
      <c r="X70" s="8"/>
      <c r="Y70" s="8"/>
      <c r="Z70" s="8"/>
      <c r="AA70" s="8"/>
      <c r="AB70" s="8"/>
      <c r="AC70" s="8"/>
      <c r="AD70" s="8"/>
    </row>
    <row r="71" spans="2:30" ht="14.5">
      <c r="B71" s="39" t="s">
        <v>18</v>
      </c>
      <c r="C71" s="32"/>
      <c r="D71" s="39" t="s">
        <v>706</v>
      </c>
      <c r="E71" s="29"/>
      <c r="F71" s="32"/>
      <c r="G71" s="32"/>
      <c r="H71" s="32"/>
      <c r="I71" s="32"/>
      <c r="J71" s="32"/>
      <c r="K71" s="32"/>
      <c r="L71" s="32"/>
      <c r="M71" s="146"/>
      <c r="N71" s="146"/>
      <c r="O71" s="146"/>
      <c r="P71" s="146"/>
      <c r="Q71" s="146"/>
      <c r="R71" s="146"/>
      <c r="S71" s="146"/>
      <c r="T71" s="146"/>
      <c r="U71" s="146"/>
      <c r="V71" s="146"/>
      <c r="W71" s="146"/>
      <c r="X71" s="146"/>
      <c r="Y71" s="146"/>
      <c r="Z71" s="146"/>
      <c r="AA71" s="146"/>
      <c r="AB71" s="146"/>
      <c r="AC71" s="146"/>
      <c r="AD71" s="146"/>
    </row>
    <row r="72" spans="2:30" ht="6.75" customHeight="1">
      <c r="C72" s="12"/>
      <c r="F72" s="5"/>
      <c r="G72" s="5"/>
      <c r="H72" s="6"/>
      <c r="I72" s="6"/>
      <c r="J72" s="6"/>
      <c r="K72" s="6"/>
      <c r="L72" s="6"/>
      <c r="M72" s="6"/>
      <c r="N72" s="6"/>
      <c r="O72" s="6"/>
      <c r="P72" s="6"/>
      <c r="Q72" s="6"/>
      <c r="R72" s="6"/>
      <c r="S72" s="6"/>
      <c r="T72" s="6"/>
      <c r="U72" s="6"/>
      <c r="V72" s="6"/>
      <c r="W72" s="6"/>
      <c r="X72" s="6"/>
      <c r="Y72" s="6"/>
      <c r="Z72" s="6"/>
      <c r="AA72" s="6"/>
      <c r="AB72" s="6"/>
      <c r="AC72" s="6"/>
      <c r="AD72" s="6"/>
    </row>
    <row r="73" spans="2:30">
      <c r="B73" s="10" t="s">
        <v>19</v>
      </c>
      <c r="C73" s="12"/>
      <c r="D73" s="10" t="s">
        <v>610</v>
      </c>
      <c r="E73" s="1"/>
      <c r="F73" s="13">
        <v>211408</v>
      </c>
      <c r="G73" s="13">
        <v>669295</v>
      </c>
      <c r="H73" s="13">
        <v>674941</v>
      </c>
      <c r="I73" s="13">
        <v>674941</v>
      </c>
      <c r="J73" s="13">
        <v>1812336</v>
      </c>
      <c r="K73" s="13">
        <v>1813114</v>
      </c>
      <c r="L73" s="13">
        <v>1813936</v>
      </c>
      <c r="M73" s="13">
        <v>1814125</v>
      </c>
      <c r="N73" s="13">
        <v>2823766</v>
      </c>
      <c r="O73" s="13">
        <v>2824282</v>
      </c>
      <c r="P73" s="13">
        <v>2828170</v>
      </c>
      <c r="Q73" s="13">
        <v>2828842</v>
      </c>
      <c r="R73" s="13">
        <v>2829973</v>
      </c>
      <c r="S73" s="13">
        <v>2830283</v>
      </c>
      <c r="T73" s="13">
        <v>2830774</v>
      </c>
      <c r="U73" s="13">
        <v>2831269</v>
      </c>
      <c r="V73" s="13">
        <v>2832275</v>
      </c>
      <c r="W73" s="13">
        <v>2832476</v>
      </c>
      <c r="X73" s="13">
        <v>2832476</v>
      </c>
      <c r="Y73" s="13">
        <v>2832624</v>
      </c>
      <c r="Z73" s="13">
        <v>2832624</v>
      </c>
      <c r="AA73" s="13">
        <v>2832624</v>
      </c>
      <c r="AB73" s="13">
        <v>2832624</v>
      </c>
      <c r="AC73" s="13">
        <v>2832624</v>
      </c>
      <c r="AD73" s="13">
        <v>2832698</v>
      </c>
    </row>
    <row r="74" spans="2:30">
      <c r="B74" s="10" t="s">
        <v>20</v>
      </c>
      <c r="C74" s="12"/>
      <c r="D74" s="10" t="s">
        <v>611</v>
      </c>
      <c r="E74" s="1"/>
      <c r="F74" s="13">
        <v>0</v>
      </c>
      <c r="G74" s="13">
        <v>0</v>
      </c>
      <c r="H74" s="13">
        <v>0</v>
      </c>
      <c r="I74" s="13">
        <v>0</v>
      </c>
      <c r="J74" s="13">
        <v>0</v>
      </c>
      <c r="K74" s="13">
        <v>-922</v>
      </c>
      <c r="L74" s="13">
        <v>-2292</v>
      </c>
      <c r="M74" s="13">
        <v>-2266</v>
      </c>
      <c r="N74" s="13">
        <v>-43</v>
      </c>
      <c r="O74" s="13">
        <v>-6793</v>
      </c>
      <c r="P74" s="13">
        <v>-6793</v>
      </c>
      <c r="Q74" s="13">
        <v>-10848</v>
      </c>
      <c r="R74" s="13">
        <v>-6638</v>
      </c>
      <c r="S74" s="13">
        <v>-5084</v>
      </c>
      <c r="T74" s="13">
        <v>-5084</v>
      </c>
      <c r="U74" s="13">
        <v>-5084</v>
      </c>
      <c r="V74" s="13">
        <v>-4432</v>
      </c>
      <c r="W74" s="13">
        <v>-7035</v>
      </c>
      <c r="X74" s="13">
        <v>-7035</v>
      </c>
      <c r="Y74" s="13">
        <v>-10188</v>
      </c>
      <c r="Z74" s="13">
        <v>-7965</v>
      </c>
      <c r="AA74" s="13">
        <v>-7886</v>
      </c>
      <c r="AB74" s="13">
        <v>-7884</v>
      </c>
      <c r="AC74" s="13">
        <v>-7545</v>
      </c>
      <c r="AD74" s="13">
        <v>0</v>
      </c>
    </row>
    <row r="75" spans="2:30">
      <c r="B75" s="10" t="s">
        <v>21</v>
      </c>
      <c r="C75" s="12"/>
      <c r="D75" s="10" t="s">
        <v>612</v>
      </c>
      <c r="E75" s="1"/>
      <c r="F75" s="13">
        <v>31031</v>
      </c>
      <c r="G75" s="13">
        <v>31158</v>
      </c>
      <c r="H75" s="13">
        <v>31158</v>
      </c>
      <c r="I75" s="13">
        <v>31158</v>
      </c>
      <c r="J75" s="13">
        <v>31158</v>
      </c>
      <c r="K75" s="13">
        <v>33167</v>
      </c>
      <c r="L75" s="13">
        <v>35176</v>
      </c>
      <c r="M75" s="13">
        <v>37185</v>
      </c>
      <c r="N75" s="13">
        <v>36406</v>
      </c>
      <c r="O75" s="13">
        <v>39743</v>
      </c>
      <c r="P75" s="13">
        <v>43171</v>
      </c>
      <c r="Q75" s="13">
        <v>46653</v>
      </c>
      <c r="R75" s="13">
        <v>46552</v>
      </c>
      <c r="S75" s="13">
        <v>48299</v>
      </c>
      <c r="T75" s="13">
        <v>51978</v>
      </c>
      <c r="U75" s="13">
        <v>55656</v>
      </c>
      <c r="V75" s="13">
        <v>48431</v>
      </c>
      <c r="W75" s="13">
        <v>52421</v>
      </c>
      <c r="X75" s="13">
        <v>56410</v>
      </c>
      <c r="Y75" s="13">
        <v>60399</v>
      </c>
      <c r="Z75" s="13">
        <v>58278</v>
      </c>
      <c r="AA75" s="13">
        <v>61130</v>
      </c>
      <c r="AB75" s="13">
        <v>64058</v>
      </c>
      <c r="AC75" s="13">
        <v>64242</v>
      </c>
      <c r="AD75" s="13">
        <v>60192</v>
      </c>
    </row>
    <row r="76" spans="2:30">
      <c r="B76" s="10" t="s">
        <v>22</v>
      </c>
      <c r="C76" s="12"/>
      <c r="D76" s="10" t="s">
        <v>707</v>
      </c>
      <c r="E76" s="1"/>
      <c r="F76" s="13">
        <v>179162</v>
      </c>
      <c r="G76" s="13">
        <v>229950</v>
      </c>
      <c r="H76" s="13">
        <v>160945</v>
      </c>
      <c r="I76" s="13">
        <v>148055</v>
      </c>
      <c r="J76" s="13">
        <v>160945</v>
      </c>
      <c r="K76" s="13">
        <v>160945</v>
      </c>
      <c r="L76" s="13">
        <v>297202</v>
      </c>
      <c r="M76" s="13">
        <v>297202.06302703335</v>
      </c>
      <c r="N76" s="13">
        <v>297202</v>
      </c>
      <c r="O76" s="13">
        <v>297202</v>
      </c>
      <c r="P76" s="13">
        <v>1167284</v>
      </c>
      <c r="Q76" s="13">
        <v>1167284</v>
      </c>
      <c r="R76" s="13">
        <v>1141293</v>
      </c>
      <c r="S76" s="13">
        <v>1141164</v>
      </c>
      <c r="T76" s="13">
        <v>1671360</v>
      </c>
      <c r="U76" s="13">
        <v>1671360</v>
      </c>
      <c r="V76" s="13">
        <v>1260477</v>
      </c>
      <c r="W76" s="13">
        <v>1671360</v>
      </c>
      <c r="X76" s="13">
        <v>1318945</v>
      </c>
      <c r="Y76" s="13">
        <v>1318945</v>
      </c>
      <c r="Z76" s="13">
        <v>1318945</v>
      </c>
      <c r="AA76" s="13">
        <v>1318945</v>
      </c>
      <c r="AB76" s="13">
        <v>1393897</v>
      </c>
      <c r="AC76" s="13">
        <v>1393897</v>
      </c>
      <c r="AD76" s="13">
        <v>1393897</v>
      </c>
    </row>
    <row r="77" spans="2:30">
      <c r="B77" s="10" t="s">
        <v>1118</v>
      </c>
      <c r="C77" s="12"/>
      <c r="D77" s="10" t="s">
        <v>613</v>
      </c>
      <c r="E77" s="1"/>
      <c r="F77" s="13">
        <v>0</v>
      </c>
      <c r="G77" s="13">
        <v>0</v>
      </c>
      <c r="H77" s="13">
        <v>0</v>
      </c>
      <c r="I77" s="13">
        <v>0</v>
      </c>
      <c r="J77" s="13">
        <v>81676</v>
      </c>
      <c r="K77" s="13">
        <v>104518</v>
      </c>
      <c r="L77" s="13">
        <v>0</v>
      </c>
      <c r="M77" s="13">
        <v>401842.93697296665</v>
      </c>
      <c r="N77" s="13">
        <v>533184</v>
      </c>
      <c r="O77" s="13">
        <v>745069</v>
      </c>
      <c r="P77" s="13">
        <v>0</v>
      </c>
      <c r="Q77" s="13">
        <v>199513</v>
      </c>
      <c r="R77" s="13">
        <v>375872</v>
      </c>
      <c r="S77" s="13">
        <v>520868</v>
      </c>
      <c r="T77" s="13">
        <v>0</v>
      </c>
      <c r="U77" s="13">
        <v>110033</v>
      </c>
      <c r="V77" s="13">
        <v>292853</v>
      </c>
      <c r="W77" s="13">
        <v>-5861</v>
      </c>
      <c r="X77" s="13">
        <v>0</v>
      </c>
      <c r="Y77" s="13">
        <v>227529</v>
      </c>
      <c r="Z77" s="13">
        <v>202268</v>
      </c>
      <c r="AA77" s="13">
        <v>324205</v>
      </c>
      <c r="AB77" s="13">
        <v>0</v>
      </c>
      <c r="AC77" s="13">
        <v>123797</v>
      </c>
      <c r="AD77" s="13">
        <v>224956</v>
      </c>
    </row>
    <row r="78" spans="2:30">
      <c r="B78" s="10" t="s">
        <v>1215</v>
      </c>
      <c r="C78" s="12"/>
      <c r="D78" s="10" t="s">
        <v>614</v>
      </c>
      <c r="E78" s="1"/>
      <c r="F78" s="13">
        <v>0</v>
      </c>
      <c r="G78" s="13">
        <v>-3391</v>
      </c>
      <c r="H78" s="13">
        <v>78671</v>
      </c>
      <c r="I78" s="13">
        <v>-80736</v>
      </c>
      <c r="J78" s="13">
        <v>-229898</v>
      </c>
      <c r="K78" s="13">
        <v>-295996</v>
      </c>
      <c r="L78" s="13">
        <v>-306690</v>
      </c>
      <c r="M78" s="13">
        <v>-497192</v>
      </c>
      <c r="N78" s="13">
        <v>-503872</v>
      </c>
      <c r="O78" s="13">
        <v>-262123</v>
      </c>
      <c r="P78" s="13">
        <v>-255811</v>
      </c>
      <c r="Q78" s="13">
        <v>-171568</v>
      </c>
      <c r="R78" s="13">
        <v>-106933</v>
      </c>
      <c r="S78" s="13">
        <v>-140803</v>
      </c>
      <c r="T78" s="13">
        <v>-65626</v>
      </c>
      <c r="U78" s="13">
        <v>-46284</v>
      </c>
      <c r="V78" s="13">
        <v>-76215</v>
      </c>
      <c r="W78" s="13">
        <v>-3454</v>
      </c>
      <c r="X78" s="13">
        <v>0</v>
      </c>
      <c r="Y78" s="13">
        <v>0</v>
      </c>
      <c r="Z78" s="13">
        <v>0</v>
      </c>
      <c r="AA78" s="13">
        <v>0</v>
      </c>
      <c r="AB78" s="13">
        <v>13540</v>
      </c>
      <c r="AC78" s="13">
        <v>-245506</v>
      </c>
      <c r="AD78" s="13">
        <v>-112718</v>
      </c>
    </row>
    <row r="79" spans="2:30">
      <c r="B79" s="10" t="s">
        <v>23</v>
      </c>
      <c r="C79" s="12"/>
      <c r="D79" s="10" t="s">
        <v>615</v>
      </c>
      <c r="E79" s="1"/>
      <c r="F79" s="13">
        <v>0</v>
      </c>
      <c r="G79" s="13">
        <v>34481</v>
      </c>
      <c r="H79" s="13">
        <v>34481</v>
      </c>
      <c r="I79" s="13">
        <v>34481</v>
      </c>
      <c r="J79" s="13">
        <v>34481</v>
      </c>
      <c r="K79" s="13">
        <v>34481</v>
      </c>
      <c r="L79" s="13">
        <v>34481</v>
      </c>
      <c r="M79" s="13">
        <v>34481</v>
      </c>
      <c r="N79" s="13">
        <v>34481</v>
      </c>
      <c r="O79" s="13">
        <v>34481</v>
      </c>
      <c r="P79" s="13">
        <v>34481</v>
      </c>
      <c r="Q79" s="13">
        <v>34481</v>
      </c>
      <c r="R79" s="13">
        <v>34481</v>
      </c>
      <c r="S79" s="13">
        <v>34481</v>
      </c>
      <c r="T79" s="13">
        <v>34481</v>
      </c>
      <c r="U79" s="13">
        <v>34481</v>
      </c>
      <c r="V79" s="13">
        <v>34481</v>
      </c>
      <c r="W79" s="13">
        <v>34481</v>
      </c>
      <c r="X79" s="13">
        <v>34481</v>
      </c>
      <c r="Y79" s="13">
        <v>34481</v>
      </c>
      <c r="Z79" s="13">
        <v>34481</v>
      </c>
      <c r="AA79" s="13">
        <v>34481</v>
      </c>
      <c r="AB79" s="13">
        <v>34481</v>
      </c>
      <c r="AC79" s="13">
        <v>34481</v>
      </c>
      <c r="AD79" s="13">
        <v>34481</v>
      </c>
    </row>
    <row r="80" spans="2:30">
      <c r="B80" s="10" t="s">
        <v>24</v>
      </c>
      <c r="C80" s="12"/>
      <c r="D80" s="10" t="s">
        <v>616</v>
      </c>
      <c r="E80" s="1"/>
      <c r="F80" s="13">
        <v>0</v>
      </c>
      <c r="G80" s="13">
        <v>304</v>
      </c>
      <c r="H80" s="13">
        <v>0</v>
      </c>
      <c r="I80" s="13">
        <v>0</v>
      </c>
      <c r="J80" s="13">
        <v>0</v>
      </c>
      <c r="K80" s="13">
        <v>0</v>
      </c>
      <c r="L80" s="13">
        <v>0</v>
      </c>
      <c r="M80" s="13">
        <v>0</v>
      </c>
      <c r="N80" s="13">
        <v>0</v>
      </c>
      <c r="O80" s="13">
        <v>0</v>
      </c>
      <c r="P80" s="13">
        <v>0</v>
      </c>
      <c r="Q80" s="13">
        <v>0</v>
      </c>
      <c r="R80" s="13">
        <v>0</v>
      </c>
      <c r="S80" s="13">
        <v>0</v>
      </c>
      <c r="T80" s="13">
        <v>0</v>
      </c>
      <c r="U80" s="13">
        <v>0</v>
      </c>
      <c r="V80" s="13">
        <v>0</v>
      </c>
      <c r="W80" s="13">
        <v>0</v>
      </c>
      <c r="X80" s="13">
        <v>0</v>
      </c>
      <c r="Y80" s="13">
        <v>0</v>
      </c>
      <c r="Z80" s="13">
        <v>0</v>
      </c>
      <c r="AA80" s="13">
        <v>0</v>
      </c>
      <c r="AB80" s="13">
        <v>0</v>
      </c>
      <c r="AC80" s="13">
        <v>0</v>
      </c>
      <c r="AD80" s="13">
        <v>0</v>
      </c>
    </row>
    <row r="81" spans="2:30" ht="4.5" customHeight="1" thickBot="1">
      <c r="B81" s="10"/>
      <c r="C81" s="15"/>
      <c r="D81" s="10"/>
      <c r="E81" s="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row>
    <row r="82" spans="2:30" ht="13.5" thickBot="1">
      <c r="B82" s="28" t="s">
        <v>74</v>
      </c>
      <c r="C82" s="26"/>
      <c r="D82" s="28" t="s">
        <v>740</v>
      </c>
      <c r="E82" s="33"/>
      <c r="F82" s="41">
        <v>421601</v>
      </c>
      <c r="G82" s="41">
        <v>961797</v>
      </c>
      <c r="H82" s="41">
        <v>980196</v>
      </c>
      <c r="I82" s="41">
        <v>807899</v>
      </c>
      <c r="J82" s="41">
        <v>1890698</v>
      </c>
      <c r="K82" s="41">
        <v>1849307</v>
      </c>
      <c r="L82" s="41">
        <v>1871813</v>
      </c>
      <c r="M82" s="41">
        <v>2085378</v>
      </c>
      <c r="N82" s="41">
        <v>3221124</v>
      </c>
      <c r="O82" s="41">
        <f t="shared" ref="O82:AB82" si="20">SUM(O73:O80)</f>
        <v>3671861</v>
      </c>
      <c r="P82" s="41">
        <f t="shared" si="20"/>
        <v>3810502</v>
      </c>
      <c r="Q82" s="41">
        <f t="shared" si="20"/>
        <v>4094357</v>
      </c>
      <c r="R82" s="41">
        <f t="shared" si="20"/>
        <v>4314600</v>
      </c>
      <c r="S82" s="41">
        <f t="shared" si="20"/>
        <v>4429208</v>
      </c>
      <c r="T82" s="41">
        <f t="shared" si="20"/>
        <v>4517883</v>
      </c>
      <c r="U82" s="41">
        <f t="shared" si="20"/>
        <v>4651431</v>
      </c>
      <c r="V82" s="41">
        <f t="shared" si="20"/>
        <v>4387870</v>
      </c>
      <c r="W82" s="41">
        <f t="shared" si="20"/>
        <v>4574388</v>
      </c>
      <c r="X82" s="41">
        <f t="shared" si="20"/>
        <v>4235277</v>
      </c>
      <c r="Y82" s="41">
        <f t="shared" si="20"/>
        <v>4463790</v>
      </c>
      <c r="Z82" s="41">
        <f t="shared" si="20"/>
        <v>4438631</v>
      </c>
      <c r="AA82" s="41">
        <f t="shared" si="20"/>
        <v>4563499</v>
      </c>
      <c r="AB82" s="41">
        <f t="shared" si="20"/>
        <v>4330716</v>
      </c>
      <c r="AC82" s="41">
        <v>4195990</v>
      </c>
      <c r="AD82" s="41">
        <f t="shared" ref="AD82" si="21">SUM(AD73:AD80)</f>
        <v>4433506</v>
      </c>
    </row>
    <row r="83" spans="2:30" ht="13.5" thickBot="1">
      <c r="B83" s="10"/>
      <c r="D83" s="10"/>
      <c r="E83" s="1"/>
      <c r="F83" s="8"/>
      <c r="G83" s="8"/>
      <c r="H83" s="8"/>
      <c r="I83" s="8"/>
      <c r="J83" s="8"/>
      <c r="K83" s="8"/>
      <c r="L83" s="8"/>
      <c r="M83" s="8"/>
      <c r="N83" s="8"/>
      <c r="O83" s="8"/>
      <c r="P83" s="8"/>
      <c r="Q83" s="8"/>
      <c r="R83" s="8"/>
      <c r="S83" s="8"/>
      <c r="T83" s="8"/>
      <c r="U83" s="8"/>
      <c r="V83" s="8"/>
      <c r="W83" s="8"/>
      <c r="X83" s="8"/>
      <c r="Y83" s="8"/>
      <c r="Z83" s="8"/>
      <c r="AA83" s="8"/>
      <c r="AB83" s="8"/>
      <c r="AC83" s="8"/>
      <c r="AD83" s="8"/>
    </row>
    <row r="84" spans="2:30" ht="13.5" thickBot="1">
      <c r="B84" s="28" t="s">
        <v>75</v>
      </c>
      <c r="C84" s="30"/>
      <c r="D84" s="28" t="s">
        <v>741</v>
      </c>
      <c r="E84" s="27"/>
      <c r="F84" s="41">
        <v>505903</v>
      </c>
      <c r="G84" s="41">
        <v>1863920</v>
      </c>
      <c r="H84" s="41">
        <v>2080173</v>
      </c>
      <c r="I84" s="41">
        <v>2133207</v>
      </c>
      <c r="J84" s="41">
        <v>3272268</v>
      </c>
      <c r="K84" s="41">
        <v>3312562</v>
      </c>
      <c r="L84" s="41">
        <v>4715393</v>
      </c>
      <c r="M84" s="41">
        <v>5047808</v>
      </c>
      <c r="N84" s="41">
        <v>6250950</v>
      </c>
      <c r="O84" s="41">
        <f t="shared" ref="O84:AB84" si="22">O82+O69</f>
        <v>6532051</v>
      </c>
      <c r="P84" s="41">
        <f t="shared" si="22"/>
        <v>6585094</v>
      </c>
      <c r="Q84" s="41">
        <f t="shared" si="22"/>
        <v>6902165</v>
      </c>
      <c r="R84" s="41">
        <f t="shared" si="22"/>
        <v>6767583</v>
      </c>
      <c r="S84" s="41">
        <f t="shared" si="22"/>
        <v>6912653</v>
      </c>
      <c r="T84" s="41">
        <f t="shared" si="22"/>
        <v>6829184</v>
      </c>
      <c r="U84" s="41">
        <f t="shared" si="22"/>
        <v>6885124</v>
      </c>
      <c r="V84" s="41">
        <f t="shared" si="22"/>
        <v>7831788</v>
      </c>
      <c r="W84" s="41">
        <f t="shared" si="22"/>
        <v>7708991</v>
      </c>
      <c r="X84" s="41">
        <f t="shared" si="22"/>
        <v>7437571</v>
      </c>
      <c r="Y84" s="41">
        <f t="shared" si="22"/>
        <v>7454930</v>
      </c>
      <c r="Z84" s="41">
        <f t="shared" si="22"/>
        <v>7201845</v>
      </c>
      <c r="AA84" s="41">
        <f t="shared" si="22"/>
        <v>7897842</v>
      </c>
      <c r="AB84" s="41">
        <f t="shared" si="22"/>
        <v>8668015</v>
      </c>
      <c r="AC84" s="41">
        <v>9068118</v>
      </c>
      <c r="AD84" s="41">
        <f t="shared" ref="AD84" si="23">AD82+AD69</f>
        <v>9031815</v>
      </c>
    </row>
    <row r="85" spans="2:30">
      <c r="B85" s="10"/>
      <c r="D85" s="10"/>
      <c r="E85" s="1"/>
      <c r="F85" s="8"/>
      <c r="G85" s="232"/>
      <c r="H85" s="8"/>
      <c r="I85" s="8"/>
      <c r="J85" s="8"/>
      <c r="K85" s="8"/>
      <c r="L85" s="8"/>
      <c r="M85" s="8"/>
      <c r="N85" s="8"/>
      <c r="O85" s="8"/>
      <c r="P85" s="8"/>
      <c r="Q85" s="8"/>
      <c r="R85" s="8"/>
      <c r="S85" s="8"/>
      <c r="T85" s="8"/>
      <c r="U85" s="8"/>
      <c r="V85" s="8"/>
      <c r="W85" s="8"/>
      <c r="X85" s="8"/>
    </row>
    <row r="86" spans="2:30" hidden="1">
      <c r="F86" s="9">
        <f t="shared" ref="F86:U86" si="24">F33-F84</f>
        <v>0</v>
      </c>
      <c r="G86" s="233">
        <f t="shared" si="24"/>
        <v>0</v>
      </c>
      <c r="H86" s="9">
        <f t="shared" si="24"/>
        <v>0</v>
      </c>
      <c r="I86" s="9">
        <f t="shared" si="24"/>
        <v>0</v>
      </c>
      <c r="J86" s="9">
        <f t="shared" si="24"/>
        <v>0</v>
      </c>
      <c r="K86" s="9">
        <f t="shared" si="24"/>
        <v>0</v>
      </c>
      <c r="L86" s="9">
        <f t="shared" si="24"/>
        <v>0</v>
      </c>
      <c r="M86" s="9">
        <f t="shared" si="24"/>
        <v>0</v>
      </c>
      <c r="N86" s="9">
        <f t="shared" si="24"/>
        <v>0</v>
      </c>
      <c r="O86" s="9">
        <f t="shared" si="24"/>
        <v>0</v>
      </c>
      <c r="P86" s="9">
        <f t="shared" si="24"/>
        <v>0</v>
      </c>
      <c r="Q86" s="9">
        <f t="shared" si="24"/>
        <v>0</v>
      </c>
      <c r="R86" s="9">
        <f t="shared" si="24"/>
        <v>0</v>
      </c>
      <c r="S86" s="9">
        <f t="shared" si="24"/>
        <v>0</v>
      </c>
      <c r="T86" s="9">
        <f t="shared" si="24"/>
        <v>0</v>
      </c>
      <c r="U86" s="9">
        <f t="shared" si="24"/>
        <v>0</v>
      </c>
      <c r="V86" s="9"/>
      <c r="W86" s="9"/>
      <c r="X86" s="9"/>
    </row>
    <row r="87" spans="2:30">
      <c r="F87" s="9"/>
      <c r="G87" s="233"/>
      <c r="H87" s="9"/>
      <c r="I87" s="9"/>
      <c r="J87" s="9"/>
      <c r="K87" s="9"/>
      <c r="L87" s="9"/>
      <c r="M87" s="9"/>
      <c r="N87" s="9"/>
      <c r="O87" s="9"/>
      <c r="P87" s="9"/>
      <c r="Q87" s="9"/>
      <c r="R87" s="9"/>
      <c r="S87" s="9"/>
      <c r="T87" s="9"/>
      <c r="U87" s="9"/>
      <c r="V87" s="9"/>
      <c r="W87" s="9"/>
      <c r="X87" s="9"/>
      <c r="AB87" s="137"/>
      <c r="AC87" s="137"/>
      <c r="AD87" s="137"/>
    </row>
    <row r="88" spans="2:30">
      <c r="E88" s="137">
        <f t="shared" ref="E88:AB88" si="25">E84-E33</f>
        <v>0</v>
      </c>
      <c r="F88" s="137">
        <f t="shared" si="25"/>
        <v>0</v>
      </c>
      <c r="G88" s="137">
        <f t="shared" si="25"/>
        <v>0</v>
      </c>
      <c r="H88" s="137">
        <f t="shared" si="25"/>
        <v>0</v>
      </c>
      <c r="I88" s="137">
        <f t="shared" si="25"/>
        <v>0</v>
      </c>
      <c r="J88" s="137">
        <f t="shared" si="25"/>
        <v>0</v>
      </c>
      <c r="K88" s="137">
        <f t="shared" si="25"/>
        <v>0</v>
      </c>
      <c r="L88" s="137">
        <f t="shared" si="25"/>
        <v>0</v>
      </c>
      <c r="M88" s="137">
        <f t="shared" si="25"/>
        <v>0</v>
      </c>
      <c r="N88" s="137">
        <f t="shared" si="25"/>
        <v>0</v>
      </c>
      <c r="O88" s="137">
        <f t="shared" si="25"/>
        <v>0</v>
      </c>
      <c r="P88" s="137">
        <f t="shared" si="25"/>
        <v>0</v>
      </c>
      <c r="Q88" s="137">
        <f t="shared" si="25"/>
        <v>0</v>
      </c>
      <c r="R88" s="137">
        <f t="shared" si="25"/>
        <v>0</v>
      </c>
      <c r="S88" s="137">
        <f t="shared" si="25"/>
        <v>0</v>
      </c>
      <c r="T88" s="137">
        <f t="shared" si="25"/>
        <v>0</v>
      </c>
      <c r="U88" s="137">
        <f t="shared" si="25"/>
        <v>0</v>
      </c>
      <c r="V88" s="137">
        <f>V84-V33</f>
        <v>0</v>
      </c>
      <c r="W88" s="137">
        <f t="shared" si="25"/>
        <v>0</v>
      </c>
      <c r="X88" s="137">
        <f t="shared" si="25"/>
        <v>0</v>
      </c>
      <c r="Y88" s="137">
        <f t="shared" si="25"/>
        <v>0</v>
      </c>
      <c r="Z88" s="137">
        <f t="shared" si="25"/>
        <v>0</v>
      </c>
      <c r="AA88" s="137">
        <f t="shared" si="25"/>
        <v>0</v>
      </c>
      <c r="AB88" s="137">
        <f t="shared" si="25"/>
        <v>1284</v>
      </c>
      <c r="AC88" s="137">
        <v>0</v>
      </c>
      <c r="AD88" s="137">
        <f>AD84-AD33</f>
        <v>0</v>
      </c>
    </row>
    <row r="89" spans="2:30">
      <c r="R89" s="137"/>
      <c r="U89" s="9"/>
      <c r="V89" s="9"/>
      <c r="W89" s="137"/>
    </row>
    <row r="90" spans="2:30">
      <c r="U90" s="9"/>
      <c r="V90" s="9"/>
    </row>
  </sheetData>
  <pageMargins left="0.511811024" right="0.511811024" top="0.78740157499999996" bottom="0.78740157499999996" header="0.31496062000000002" footer="0.31496062000000002"/>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6C442-E9C3-475F-A8ED-D5E21659DEEA}">
  <dimension ref="B1:AU46"/>
  <sheetViews>
    <sheetView showGridLines="0" zoomScaleNormal="100" workbookViewId="0">
      <pane xSplit="4" ySplit="4" topLeftCell="AO5" activePane="bottomRight" state="frozen"/>
      <selection activeCell="B30" sqref="B30"/>
      <selection pane="topRight" activeCell="B30" sqref="B30"/>
      <selection pane="bottomLeft" activeCell="B30" sqref="B30"/>
      <selection pane="bottomRight" activeCell="AS7" sqref="AS7"/>
    </sheetView>
  </sheetViews>
  <sheetFormatPr defaultColWidth="9.1796875" defaultRowHeight="13" outlineLevelCol="1"/>
  <cols>
    <col min="1" max="1" width="3" style="3" customWidth="1"/>
    <col min="2" max="2" width="45.81640625" style="3" bestFit="1" customWidth="1"/>
    <col min="3" max="3" width="1.453125" style="3" customWidth="1"/>
    <col min="4" max="4" width="33.54296875" style="3" customWidth="1"/>
    <col min="5" max="5" width="1.453125" style="3" customWidth="1"/>
    <col min="6" max="6" width="12" style="3" bestFit="1" customWidth="1"/>
    <col min="7" max="7" width="12.7265625" style="3" bestFit="1" customWidth="1"/>
    <col min="8" max="11" width="12.7265625" style="3" hidden="1" customWidth="1" outlineLevel="1"/>
    <col min="12" max="12" width="13.453125" style="3" customWidth="1" collapsed="1"/>
    <col min="13" max="16" width="12.7265625" style="3" hidden="1" customWidth="1" outlineLevel="1"/>
    <col min="17" max="17" width="12.7265625" style="3" customWidth="1" collapsed="1"/>
    <col min="18" max="21" width="12.7265625" style="3" hidden="1" customWidth="1" outlineLevel="1"/>
    <col min="22" max="22" width="12.7265625" style="3" customWidth="1" collapsed="1"/>
    <col min="23" max="28" width="12.7265625" style="3" hidden="1" customWidth="1" outlineLevel="1"/>
    <col min="29" max="29" width="12.7265625" style="3" customWidth="1" collapsed="1"/>
    <col min="30" max="35" width="13.1796875" style="3" hidden="1" customWidth="1" outlineLevel="1"/>
    <col min="36" max="36" width="13.1796875" style="3" customWidth="1" collapsed="1"/>
    <col min="37" max="39" width="13.1796875" style="3" customWidth="1"/>
    <col min="40" max="40" width="9.1796875" style="3"/>
    <col min="41" max="46" width="10.54296875" style="3" bestFit="1" customWidth="1"/>
    <col min="47" max="16384" width="9.1796875" style="3"/>
  </cols>
  <sheetData>
    <row r="1" spans="2:47">
      <c r="G1" s="18"/>
      <c r="H1" s="18"/>
      <c r="I1" s="18"/>
      <c r="J1" s="18"/>
      <c r="K1" s="18"/>
      <c r="M1" s="18"/>
      <c r="N1" s="18"/>
      <c r="O1" s="18"/>
      <c r="P1" s="18"/>
      <c r="Q1" s="18"/>
      <c r="R1" s="18"/>
      <c r="S1" s="18"/>
      <c r="T1" s="18"/>
      <c r="U1" s="18"/>
      <c r="V1" s="18"/>
      <c r="W1" s="18"/>
      <c r="X1" s="18"/>
      <c r="Y1" s="18"/>
      <c r="Z1" s="18"/>
      <c r="AA1" s="18"/>
      <c r="AB1" s="18"/>
      <c r="AC1" s="18"/>
      <c r="AD1" s="18"/>
      <c r="AE1" s="18"/>
      <c r="AF1" s="18"/>
      <c r="AG1" s="18"/>
      <c r="AH1" s="18"/>
      <c r="AI1" s="18"/>
      <c r="AJ1" s="18"/>
    </row>
    <row r="2" spans="2:47" ht="18.5">
      <c r="D2" s="147" t="s">
        <v>726</v>
      </c>
      <c r="F2" s="17"/>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row>
    <row r="4" spans="2:47" ht="16">
      <c r="B4" s="23" t="s">
        <v>25</v>
      </c>
      <c r="C4" s="1"/>
      <c r="D4" s="23" t="s">
        <v>587</v>
      </c>
      <c r="E4" s="1"/>
      <c r="F4" s="2">
        <v>2018</v>
      </c>
      <c r="G4" s="2">
        <v>2019</v>
      </c>
      <c r="H4" s="22" t="s">
        <v>629</v>
      </c>
      <c r="I4" s="22" t="s">
        <v>630</v>
      </c>
      <c r="J4" s="22" t="s">
        <v>631</v>
      </c>
      <c r="K4" s="22" t="s">
        <v>632</v>
      </c>
      <c r="L4" s="2">
        <v>2020</v>
      </c>
      <c r="M4" s="22" t="s">
        <v>590</v>
      </c>
      <c r="N4" s="22" t="s">
        <v>633</v>
      </c>
      <c r="O4" s="22" t="s">
        <v>634</v>
      </c>
      <c r="P4" s="22" t="s">
        <v>635</v>
      </c>
      <c r="Q4" s="22">
        <v>2021</v>
      </c>
      <c r="R4" s="22" t="s">
        <v>593</v>
      </c>
      <c r="S4" s="22" t="s">
        <v>731</v>
      </c>
      <c r="T4" s="22" t="s">
        <v>755</v>
      </c>
      <c r="U4" s="22" t="s">
        <v>803</v>
      </c>
      <c r="V4" s="22">
        <v>2022</v>
      </c>
      <c r="W4" s="22" t="s">
        <v>813</v>
      </c>
      <c r="X4" s="22" t="s">
        <v>859</v>
      </c>
      <c r="Y4" s="22" t="s">
        <v>733</v>
      </c>
      <c r="Z4" s="22" t="s">
        <v>934</v>
      </c>
      <c r="AA4" s="22" t="s">
        <v>935</v>
      </c>
      <c r="AB4" s="22" t="s">
        <v>977</v>
      </c>
      <c r="AC4" s="22">
        <v>2023</v>
      </c>
      <c r="AD4" s="22" t="s">
        <v>1051</v>
      </c>
      <c r="AE4" s="22" t="s">
        <v>1077</v>
      </c>
      <c r="AF4" s="22" t="s">
        <v>1078</v>
      </c>
      <c r="AG4" s="22" t="s">
        <v>1079</v>
      </c>
      <c r="AH4" s="22" t="s">
        <v>1080</v>
      </c>
      <c r="AI4" s="22" t="s">
        <v>1081</v>
      </c>
      <c r="AJ4" s="22">
        <v>2024</v>
      </c>
      <c r="AK4" s="22" t="s">
        <v>1008</v>
      </c>
      <c r="AL4" s="22" t="s">
        <v>1067</v>
      </c>
      <c r="AM4" s="22" t="s">
        <v>1174</v>
      </c>
      <c r="AN4" s="22" t="s">
        <v>1068</v>
      </c>
      <c r="AO4" s="22" t="s">
        <v>1188</v>
      </c>
      <c r="AP4" s="22" t="s">
        <v>1069</v>
      </c>
      <c r="AQ4" s="22">
        <v>2025</v>
      </c>
      <c r="AR4" s="22" t="s">
        <v>1066</v>
      </c>
      <c r="AS4" s="22" t="s">
        <v>1242</v>
      </c>
      <c r="AT4" s="22" t="s">
        <v>1244</v>
      </c>
    </row>
    <row r="5" spans="2:47" ht="6.75" customHeight="1">
      <c r="B5" s="1"/>
      <c r="C5" s="1"/>
      <c r="D5" s="1"/>
      <c r="E5" s="1"/>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row>
    <row r="6" spans="2:47">
      <c r="B6" s="3" t="s">
        <v>98</v>
      </c>
      <c r="C6" s="1"/>
      <c r="D6" s="3" t="s">
        <v>618</v>
      </c>
      <c r="E6" s="1"/>
      <c r="F6" s="13">
        <v>299668</v>
      </c>
      <c r="G6" s="13">
        <v>339923</v>
      </c>
      <c r="H6" s="13">
        <v>195548</v>
      </c>
      <c r="I6" s="13">
        <v>185488</v>
      </c>
      <c r="J6" s="13">
        <v>200177</v>
      </c>
      <c r="K6" s="13">
        <v>206628</v>
      </c>
      <c r="L6" s="13">
        <v>787841</v>
      </c>
      <c r="M6" s="13">
        <v>245788</v>
      </c>
      <c r="N6" s="13">
        <v>249110</v>
      </c>
      <c r="O6" s="13">
        <v>260344</v>
      </c>
      <c r="P6" s="13">
        <v>285362</v>
      </c>
      <c r="Q6" s="13">
        <v>1040604</v>
      </c>
      <c r="R6" s="13">
        <v>703476</v>
      </c>
      <c r="S6" s="13">
        <v>691009</v>
      </c>
      <c r="T6" s="13">
        <v>804848</v>
      </c>
      <c r="U6" s="13">
        <v>776606</v>
      </c>
      <c r="V6" s="13">
        <v>2975939</v>
      </c>
      <c r="W6" s="13">
        <v>719212</v>
      </c>
      <c r="X6" s="13">
        <v>658314</v>
      </c>
      <c r="Y6" s="13">
        <v>1377526</v>
      </c>
      <c r="Z6" s="13">
        <v>747829</v>
      </c>
      <c r="AA6" s="13">
        <v>2125355</v>
      </c>
      <c r="AB6" s="13">
        <f>AC6-AA6</f>
        <v>689006</v>
      </c>
      <c r="AC6" s="13">
        <v>2814361</v>
      </c>
      <c r="AD6" s="13">
        <v>744735</v>
      </c>
      <c r="AE6" s="13">
        <v>826254</v>
      </c>
      <c r="AF6" s="13">
        <v>1570989</v>
      </c>
      <c r="AG6" s="13">
        <v>850189</v>
      </c>
      <c r="AH6" s="13">
        <v>2421178</v>
      </c>
      <c r="AI6" s="13">
        <v>843376</v>
      </c>
      <c r="AJ6" s="13">
        <v>3264554</v>
      </c>
      <c r="AK6" s="13">
        <v>860752</v>
      </c>
      <c r="AL6" s="13">
        <v>806302</v>
      </c>
      <c r="AM6" s="13">
        <v>1667054</v>
      </c>
      <c r="AN6" s="13">
        <v>786385</v>
      </c>
      <c r="AO6" s="13">
        <v>2453439</v>
      </c>
      <c r="AP6" s="13">
        <v>704170</v>
      </c>
      <c r="AQ6" s="13">
        <v>3157609</v>
      </c>
      <c r="AR6" s="13">
        <v>684456</v>
      </c>
      <c r="AS6" s="13">
        <v>807943</v>
      </c>
      <c r="AT6" s="13">
        <f>AS6+AR6</f>
        <v>1492399</v>
      </c>
    </row>
    <row r="7" spans="2:47">
      <c r="B7" s="3" t="s">
        <v>79</v>
      </c>
      <c r="C7" s="1"/>
      <c r="D7" s="3" t="s">
        <v>708</v>
      </c>
      <c r="E7" s="1"/>
      <c r="F7" s="9">
        <v>-187387</v>
      </c>
      <c r="G7" s="9">
        <v>-253367</v>
      </c>
      <c r="H7" s="9">
        <v>-128605</v>
      </c>
      <c r="I7" s="9">
        <v>-111882</v>
      </c>
      <c r="J7" s="9">
        <v>-118385</v>
      </c>
      <c r="K7" s="13">
        <v>-151727.57857999997</v>
      </c>
      <c r="L7" s="9">
        <v>-510599.57857999997</v>
      </c>
      <c r="M7" s="9">
        <v>-153098</v>
      </c>
      <c r="N7" s="9">
        <v>-166331</v>
      </c>
      <c r="O7" s="9">
        <v>-179203</v>
      </c>
      <c r="P7" s="13">
        <v>-169218</v>
      </c>
      <c r="Q7" s="13">
        <v>-667850</v>
      </c>
      <c r="R7" s="13">
        <v>-333865</v>
      </c>
      <c r="S7" s="13">
        <v>-367690</v>
      </c>
      <c r="T7" s="13">
        <v>-420747</v>
      </c>
      <c r="U7" s="13">
        <v>-412110</v>
      </c>
      <c r="V7" s="13">
        <v>-1534412</v>
      </c>
      <c r="W7" s="13">
        <v>-442263</v>
      </c>
      <c r="X7" s="13">
        <v>-472834</v>
      </c>
      <c r="Y7" s="13">
        <v>-915097</v>
      </c>
      <c r="Z7" s="13">
        <v>-499783</v>
      </c>
      <c r="AA7" s="13">
        <v>-1414880</v>
      </c>
      <c r="AB7" s="13">
        <f>AC7-AA7</f>
        <v>-501781</v>
      </c>
      <c r="AC7" s="13">
        <v>-1916661</v>
      </c>
      <c r="AD7" s="13">
        <v>-475848</v>
      </c>
      <c r="AE7" s="13">
        <v>-501955</v>
      </c>
      <c r="AF7" s="13">
        <v>-977803</v>
      </c>
      <c r="AG7" s="13">
        <v>-564861</v>
      </c>
      <c r="AH7" s="13">
        <v>-1542664</v>
      </c>
      <c r="AI7" s="13">
        <v>-530141</v>
      </c>
      <c r="AJ7" s="13">
        <v>-2072805</v>
      </c>
      <c r="AK7" s="13">
        <v>-540866</v>
      </c>
      <c r="AL7" s="13">
        <v>-553122</v>
      </c>
      <c r="AM7" s="13">
        <v>-1093988</v>
      </c>
      <c r="AN7" s="13">
        <v>-552209</v>
      </c>
      <c r="AO7" s="13">
        <v>-1646197</v>
      </c>
      <c r="AP7" s="13">
        <v>-489976</v>
      </c>
      <c r="AQ7" s="13">
        <v>-2136173</v>
      </c>
      <c r="AR7" s="13">
        <v>-467859</v>
      </c>
      <c r="AS7" s="13">
        <v>-516223</v>
      </c>
      <c r="AT7" s="13">
        <f>AS7+AR7</f>
        <v>-984082</v>
      </c>
    </row>
    <row r="8" spans="2:47" ht="4.5" customHeight="1" thickBot="1">
      <c r="B8" s="10"/>
      <c r="C8" s="1"/>
      <c r="D8" s="10"/>
      <c r="E8" s="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2:47" ht="13.5" thickBot="1">
      <c r="B9" s="28" t="s">
        <v>39</v>
      </c>
      <c r="C9" s="27"/>
      <c r="D9" s="28" t="s">
        <v>709</v>
      </c>
      <c r="E9" s="27"/>
      <c r="F9" s="40">
        <v>112281</v>
      </c>
      <c r="G9" s="40">
        <v>86556</v>
      </c>
      <c r="H9" s="40">
        <v>66943</v>
      </c>
      <c r="I9" s="40">
        <v>73606</v>
      </c>
      <c r="J9" s="40">
        <v>81792</v>
      </c>
      <c r="K9" s="40">
        <v>54900.421420000028</v>
      </c>
      <c r="L9" s="40">
        <v>277241.42142000003</v>
      </c>
      <c r="M9" s="40">
        <v>92690</v>
      </c>
      <c r="N9" s="40">
        <v>82779</v>
      </c>
      <c r="O9" s="40">
        <v>81141</v>
      </c>
      <c r="P9" s="40">
        <v>116144</v>
      </c>
      <c r="Q9" s="40">
        <v>372754</v>
      </c>
      <c r="R9" s="40">
        <v>369611</v>
      </c>
      <c r="S9" s="40">
        <v>323319</v>
      </c>
      <c r="T9" s="40">
        <f t="shared" ref="T9:Y9" si="0">SUM(T6:T7)</f>
        <v>384101</v>
      </c>
      <c r="U9" s="40">
        <f t="shared" si="0"/>
        <v>364496</v>
      </c>
      <c r="V9" s="40">
        <f t="shared" si="0"/>
        <v>1441527</v>
      </c>
      <c r="W9" s="40">
        <f t="shared" si="0"/>
        <v>276949</v>
      </c>
      <c r="X9" s="40">
        <f t="shared" si="0"/>
        <v>185480</v>
      </c>
      <c r="Y9" s="40">
        <f t="shared" si="0"/>
        <v>462429</v>
      </c>
      <c r="Z9" s="40">
        <f>SUM(Z6:Z7)</f>
        <v>248046</v>
      </c>
      <c r="AA9" s="40">
        <f>SUM(AA6:AA7)</f>
        <v>710475</v>
      </c>
      <c r="AB9" s="40">
        <f>AC9-AA9</f>
        <v>187225</v>
      </c>
      <c r="AC9" s="40">
        <f>SUM(AC6:AC7)</f>
        <v>897700</v>
      </c>
      <c r="AD9" s="40">
        <f>SUM(AD6:AD7)</f>
        <v>268887</v>
      </c>
      <c r="AE9" s="40">
        <f>SUM(AE6:AE7)</f>
        <v>324299</v>
      </c>
      <c r="AF9" s="40">
        <f t="shared" ref="AF9:AJ9" si="1">SUM(AF6:AF7)</f>
        <v>593186</v>
      </c>
      <c r="AG9" s="40">
        <f t="shared" si="1"/>
        <v>285328</v>
      </c>
      <c r="AH9" s="40">
        <f t="shared" si="1"/>
        <v>878514</v>
      </c>
      <c r="AI9" s="40">
        <f t="shared" si="1"/>
        <v>313235</v>
      </c>
      <c r="AJ9" s="40">
        <f t="shared" si="1"/>
        <v>1191749</v>
      </c>
      <c r="AK9" s="40">
        <f t="shared" ref="AK9:AL9" si="2">SUM(AK6:AK7)</f>
        <v>319886</v>
      </c>
      <c r="AL9" s="40">
        <f t="shared" si="2"/>
        <v>253180</v>
      </c>
      <c r="AM9" s="40">
        <f t="shared" ref="AM9:AN9" si="3">SUM(AM6:AM7)</f>
        <v>573066</v>
      </c>
      <c r="AN9" s="40">
        <f t="shared" si="3"/>
        <v>234176</v>
      </c>
      <c r="AO9" s="40">
        <f t="shared" ref="AO9:AP9" si="4">SUM(AO6:AO7)</f>
        <v>807242</v>
      </c>
      <c r="AP9" s="40">
        <f t="shared" si="4"/>
        <v>214194</v>
      </c>
      <c r="AQ9" s="40">
        <f t="shared" ref="AQ9" si="5">SUM(AQ6:AQ7)</f>
        <v>1021436</v>
      </c>
      <c r="AR9" s="40">
        <v>216597</v>
      </c>
      <c r="AS9" s="40">
        <f t="shared" ref="AS9:AT9" si="6">SUM(AS6:AS7)</f>
        <v>291720</v>
      </c>
      <c r="AT9" s="40">
        <f t="shared" si="6"/>
        <v>508317</v>
      </c>
      <c r="AU9" s="137"/>
    </row>
    <row r="10" spans="2:47" ht="6.75" customHeight="1">
      <c r="F10" s="5"/>
      <c r="G10" s="5"/>
      <c r="H10" s="5"/>
      <c r="I10" s="5"/>
      <c r="J10" s="5"/>
      <c r="K10" s="5"/>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row>
    <row r="11" spans="2:47">
      <c r="B11" s="7" t="s">
        <v>40</v>
      </c>
      <c r="D11" s="7" t="s">
        <v>710</v>
      </c>
      <c r="F11" s="5"/>
      <c r="G11" s="5"/>
      <c r="H11" s="5"/>
      <c r="I11" s="5"/>
      <c r="J11" s="5"/>
      <c r="K11" s="5"/>
      <c r="L11" s="6"/>
      <c r="M11" s="6"/>
      <c r="N11" s="6"/>
      <c r="O11" s="6"/>
      <c r="P11" s="6"/>
      <c r="Q11" s="6"/>
      <c r="R11" s="6"/>
      <c r="S11" s="6"/>
      <c r="T11" s="6"/>
      <c r="U11" s="13"/>
      <c r="V11" s="13"/>
      <c r="W11" s="6"/>
      <c r="X11" s="6"/>
      <c r="Y11" s="6"/>
      <c r="Z11" s="6"/>
      <c r="AA11" s="6"/>
      <c r="AB11" s="6"/>
      <c r="AC11" s="6"/>
      <c r="AD11" s="6"/>
      <c r="AE11" s="6"/>
      <c r="AF11" s="6"/>
      <c r="AG11" s="6"/>
      <c r="AH11" s="6"/>
      <c r="AI11" s="6"/>
      <c r="AJ11" s="6"/>
      <c r="AK11" s="6"/>
      <c r="AL11" s="6"/>
      <c r="AM11" s="6"/>
      <c r="AN11" s="6"/>
      <c r="AO11" s="6"/>
      <c r="AP11" s="6"/>
      <c r="AQ11" s="6"/>
      <c r="AR11" s="6"/>
      <c r="AS11" s="6"/>
      <c r="AT11" s="6"/>
    </row>
    <row r="12" spans="2:47">
      <c r="B12" s="10" t="s">
        <v>767</v>
      </c>
      <c r="D12" s="10" t="s">
        <v>778</v>
      </c>
      <c r="F12" s="13">
        <v>0</v>
      </c>
      <c r="G12" s="13">
        <v>0</v>
      </c>
      <c r="H12" s="13">
        <v>0</v>
      </c>
      <c r="I12" s="13">
        <v>0</v>
      </c>
      <c r="J12" s="13">
        <v>0</v>
      </c>
      <c r="K12" s="13">
        <v>0</v>
      </c>
      <c r="L12" s="13">
        <v>0</v>
      </c>
      <c r="M12" s="13">
        <v>0</v>
      </c>
      <c r="N12" s="13">
        <v>0</v>
      </c>
      <c r="O12" s="13">
        <v>0</v>
      </c>
      <c r="P12" s="13">
        <v>0</v>
      </c>
      <c r="Q12" s="13">
        <v>0</v>
      </c>
      <c r="R12" s="13">
        <v>0</v>
      </c>
      <c r="S12" s="13">
        <v>0</v>
      </c>
      <c r="T12" s="13">
        <v>-37962</v>
      </c>
      <c r="U12" s="13">
        <v>-32749</v>
      </c>
      <c r="V12" s="13">
        <v>-70711</v>
      </c>
      <c r="W12" s="13">
        <v>0</v>
      </c>
      <c r="X12" s="13">
        <v>0</v>
      </c>
      <c r="Y12" s="13">
        <v>0</v>
      </c>
      <c r="Z12" s="13">
        <v>0</v>
      </c>
      <c r="AA12" s="13">
        <v>0</v>
      </c>
      <c r="AB12" s="13">
        <f>AC12-AA12</f>
        <v>0</v>
      </c>
      <c r="AC12" s="13">
        <v>0</v>
      </c>
      <c r="AD12" s="13">
        <v>0</v>
      </c>
      <c r="AE12" s="13">
        <v>0</v>
      </c>
      <c r="AF12" s="13">
        <v>0</v>
      </c>
      <c r="AG12" s="13">
        <v>0</v>
      </c>
      <c r="AH12" s="13">
        <v>0</v>
      </c>
      <c r="AI12" s="13">
        <v>0</v>
      </c>
      <c r="AJ12" s="13">
        <v>0</v>
      </c>
      <c r="AK12" s="13">
        <v>0</v>
      </c>
      <c r="AL12" s="13">
        <v>0</v>
      </c>
      <c r="AM12" s="13">
        <v>0</v>
      </c>
      <c r="AN12" s="13">
        <v>0</v>
      </c>
      <c r="AO12" s="13">
        <v>0</v>
      </c>
      <c r="AP12" s="13">
        <v>0</v>
      </c>
      <c r="AQ12" s="13">
        <v>0</v>
      </c>
      <c r="AR12" s="13">
        <v>0</v>
      </c>
      <c r="AS12" s="13">
        <v>0</v>
      </c>
      <c r="AT12" s="13">
        <f>AS12+AR12</f>
        <v>0</v>
      </c>
    </row>
    <row r="13" spans="2:47">
      <c r="B13" s="10" t="s">
        <v>936</v>
      </c>
      <c r="D13" s="10" t="s">
        <v>1052</v>
      </c>
      <c r="F13" s="13">
        <v>-24763</v>
      </c>
      <c r="G13" s="13">
        <v>-31525</v>
      </c>
      <c r="H13" s="13">
        <v>-14882</v>
      </c>
      <c r="I13" s="13">
        <v>-8311</v>
      </c>
      <c r="J13" s="13">
        <v>-12384</v>
      </c>
      <c r="K13" s="13">
        <v>-11909</v>
      </c>
      <c r="L13" s="13">
        <v>-47486</v>
      </c>
      <c r="M13" s="13">
        <v>-11283</v>
      </c>
      <c r="N13" s="13">
        <v>-18188</v>
      </c>
      <c r="O13" s="13">
        <v>-11315</v>
      </c>
      <c r="P13" s="13">
        <v>-22058</v>
      </c>
      <c r="Q13" s="13">
        <v>-62844</v>
      </c>
      <c r="R13" s="13">
        <v>-21788</v>
      </c>
      <c r="S13" s="13">
        <v>-23913</v>
      </c>
      <c r="T13" s="13">
        <v>-29803</v>
      </c>
      <c r="U13" s="13">
        <v>-34873</v>
      </c>
      <c r="V13" s="13">
        <v>-110377</v>
      </c>
      <c r="W13" s="13">
        <v>-45840</v>
      </c>
      <c r="X13" s="13">
        <v>-35741</v>
      </c>
      <c r="Y13" s="13">
        <v>-81581</v>
      </c>
      <c r="Z13" s="13">
        <v>-48862</v>
      </c>
      <c r="AA13" s="13">
        <v>-130443</v>
      </c>
      <c r="AB13" s="13">
        <f>AC13-AA13</f>
        <v>-83622</v>
      </c>
      <c r="AC13" s="13">
        <v>-214065</v>
      </c>
      <c r="AD13" s="13">
        <v>-42618</v>
      </c>
      <c r="AE13" s="13">
        <v>-48331</v>
      </c>
      <c r="AF13" s="13">
        <v>-90949</v>
      </c>
      <c r="AG13" s="13">
        <v>-55612</v>
      </c>
      <c r="AH13" s="13">
        <v>-146561</v>
      </c>
      <c r="AI13" s="13">
        <v>-62154</v>
      </c>
      <c r="AJ13" s="13">
        <v>-208715</v>
      </c>
      <c r="AK13" s="13">
        <v>-56502</v>
      </c>
      <c r="AL13" s="13">
        <v>-66443</v>
      </c>
      <c r="AM13" s="13">
        <v>-122945</v>
      </c>
      <c r="AN13" s="13">
        <v>-55195</v>
      </c>
      <c r="AO13" s="13">
        <v>-178140</v>
      </c>
      <c r="AP13" s="13">
        <v>-61856</v>
      </c>
      <c r="AQ13" s="13">
        <v>-239996</v>
      </c>
      <c r="AR13" s="13">
        <v>-61907</v>
      </c>
      <c r="AS13" s="13">
        <v>-52951</v>
      </c>
      <c r="AT13" s="13">
        <f>AS13+AR13</f>
        <v>-114858</v>
      </c>
    </row>
    <row r="14" spans="2:47">
      <c r="B14" s="10" t="s">
        <v>41</v>
      </c>
      <c r="D14" s="10" t="s">
        <v>715</v>
      </c>
      <c r="F14" s="13">
        <v>2070</v>
      </c>
      <c r="G14" s="13">
        <v>5415</v>
      </c>
      <c r="H14" s="13">
        <v>-2</v>
      </c>
      <c r="I14" s="13">
        <v>565</v>
      </c>
      <c r="J14" s="13">
        <v>-2354</v>
      </c>
      <c r="K14" s="13">
        <v>3855.5785800000003</v>
      </c>
      <c r="L14" s="13">
        <v>2064.5785800000003</v>
      </c>
      <c r="M14" s="13">
        <v>-10827</v>
      </c>
      <c r="N14" s="13">
        <v>-1618</v>
      </c>
      <c r="O14" s="13">
        <v>-12888</v>
      </c>
      <c r="P14" s="13">
        <v>29</v>
      </c>
      <c r="Q14" s="13">
        <v>-25304</v>
      </c>
      <c r="R14" s="13">
        <v>-3016</v>
      </c>
      <c r="S14" s="13">
        <v>-4643</v>
      </c>
      <c r="T14" s="13">
        <v>-5483</v>
      </c>
      <c r="U14" s="13">
        <v>10903</v>
      </c>
      <c r="V14" s="13">
        <v>-2239</v>
      </c>
      <c r="W14" s="13">
        <v>-196</v>
      </c>
      <c r="X14" s="13">
        <v>24313</v>
      </c>
      <c r="Y14" s="13">
        <v>24117</v>
      </c>
      <c r="Z14" s="13">
        <v>-4272</v>
      </c>
      <c r="AA14" s="13">
        <v>19845</v>
      </c>
      <c r="AB14" s="9">
        <f>AC14-AA14</f>
        <v>-23663</v>
      </c>
      <c r="AC14" s="13">
        <v>-3818</v>
      </c>
      <c r="AD14" s="13">
        <v>-26779</v>
      </c>
      <c r="AE14" s="13">
        <v>-6867</v>
      </c>
      <c r="AF14" s="13">
        <v>-33646</v>
      </c>
      <c r="AG14" s="13">
        <v>6688</v>
      </c>
      <c r="AH14" s="13">
        <v>-26958</v>
      </c>
      <c r="AI14" s="13">
        <v>-7856</v>
      </c>
      <c r="AJ14" s="13">
        <v>-34814</v>
      </c>
      <c r="AK14" s="13">
        <v>-3619</v>
      </c>
      <c r="AL14" s="13">
        <v>-8332</v>
      </c>
      <c r="AM14" s="13">
        <v>-11951</v>
      </c>
      <c r="AN14" s="13">
        <v>-21377</v>
      </c>
      <c r="AO14" s="13">
        <v>-33328</v>
      </c>
      <c r="AP14" s="13">
        <v>-26533</v>
      </c>
      <c r="AQ14" s="13">
        <v>-59861</v>
      </c>
      <c r="AR14" s="13">
        <v>-4596</v>
      </c>
      <c r="AS14" s="13">
        <v>-15713</v>
      </c>
      <c r="AT14" s="13">
        <f>AS14+AR14</f>
        <v>-20309</v>
      </c>
    </row>
    <row r="15" spans="2:47" ht="4.5" customHeight="1" thickBot="1">
      <c r="B15" s="14" t="s">
        <v>8</v>
      </c>
      <c r="C15" s="1"/>
      <c r="D15" s="14" t="s">
        <v>599</v>
      </c>
      <c r="E15" s="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2:47" ht="13.5" thickBot="1">
      <c r="B16" s="28" t="s">
        <v>46</v>
      </c>
      <c r="C16" s="27"/>
      <c r="D16" s="28" t="s">
        <v>619</v>
      </c>
      <c r="E16" s="27"/>
      <c r="F16" s="40">
        <v>-22693</v>
      </c>
      <c r="G16" s="40">
        <v>-26110</v>
      </c>
      <c r="H16" s="40">
        <v>-14884</v>
      </c>
      <c r="I16" s="40">
        <v>-7746</v>
      </c>
      <c r="J16" s="40">
        <v>-14738</v>
      </c>
      <c r="K16" s="40">
        <v>-8053.4214199999997</v>
      </c>
      <c r="L16" s="40">
        <v>-45421.421419999999</v>
      </c>
      <c r="M16" s="40">
        <v>-22110</v>
      </c>
      <c r="N16" s="40">
        <v>-19806</v>
      </c>
      <c r="O16" s="40">
        <v>-24203</v>
      </c>
      <c r="P16" s="40">
        <v>-22029</v>
      </c>
      <c r="Q16" s="40">
        <v>-88148</v>
      </c>
      <c r="R16" s="40">
        <v>-24804</v>
      </c>
      <c r="S16" s="40">
        <v>-28556</v>
      </c>
      <c r="T16" s="40">
        <f t="shared" ref="T16:Y16" si="7">SUM(T12:T14)</f>
        <v>-73248</v>
      </c>
      <c r="U16" s="40">
        <f t="shared" si="7"/>
        <v>-56719</v>
      </c>
      <c r="V16" s="40">
        <f t="shared" si="7"/>
        <v>-183327</v>
      </c>
      <c r="W16" s="40">
        <f t="shared" si="7"/>
        <v>-46036</v>
      </c>
      <c r="X16" s="40">
        <f t="shared" si="7"/>
        <v>-11428</v>
      </c>
      <c r="Y16" s="40">
        <f t="shared" si="7"/>
        <v>-57464</v>
      </c>
      <c r="Z16" s="40">
        <f>SUM(Z12:Z14)</f>
        <v>-53134</v>
      </c>
      <c r="AA16" s="40">
        <f>SUM(AA12:AA14)</f>
        <v>-110598</v>
      </c>
      <c r="AB16" s="40">
        <f>AC16-AA16</f>
        <v>-107285</v>
      </c>
      <c r="AC16" s="40">
        <f>SUM(AC12:AC14)</f>
        <v>-217883</v>
      </c>
      <c r="AD16" s="40">
        <f>SUM(AD12:AD14)</f>
        <v>-69397</v>
      </c>
      <c r="AE16" s="40">
        <f>SUM(AE12:AE14)</f>
        <v>-55198</v>
      </c>
      <c r="AF16" s="40">
        <f t="shared" ref="AF16:AJ16" si="8">SUM(AF12:AF14)</f>
        <v>-124595</v>
      </c>
      <c r="AG16" s="40">
        <f t="shared" si="8"/>
        <v>-48924</v>
      </c>
      <c r="AH16" s="40">
        <f t="shared" si="8"/>
        <v>-173519</v>
      </c>
      <c r="AI16" s="40">
        <f t="shared" si="8"/>
        <v>-70010</v>
      </c>
      <c r="AJ16" s="40">
        <f t="shared" si="8"/>
        <v>-243529</v>
      </c>
      <c r="AK16" s="40">
        <f t="shared" ref="AK16:AL16" si="9">SUM(AK12:AK14)</f>
        <v>-60121</v>
      </c>
      <c r="AL16" s="40">
        <f t="shared" si="9"/>
        <v>-74775</v>
      </c>
      <c r="AM16" s="40">
        <f t="shared" ref="AM16:AN16" si="10">SUM(AM12:AM14)</f>
        <v>-134896</v>
      </c>
      <c r="AN16" s="40">
        <f t="shared" si="10"/>
        <v>-76572</v>
      </c>
      <c r="AO16" s="40">
        <f t="shared" ref="AO16:AP16" si="11">SUM(AO12:AO14)</f>
        <v>-211468</v>
      </c>
      <c r="AP16" s="40">
        <f t="shared" si="11"/>
        <v>-88389</v>
      </c>
      <c r="AQ16" s="40">
        <f t="shared" ref="AQ16" si="12">SUM(AQ12:AQ14)</f>
        <v>-299857</v>
      </c>
      <c r="AR16" s="40">
        <v>-66503</v>
      </c>
      <c r="AS16" s="40">
        <f t="shared" ref="AS16:AT16" si="13">SUM(AS12:AS14)</f>
        <v>-68664</v>
      </c>
      <c r="AT16" s="40">
        <f t="shared" si="13"/>
        <v>-135167</v>
      </c>
    </row>
    <row r="17" spans="2:46" ht="13.5" thickBot="1">
      <c r="B17" s="10"/>
      <c r="C17" s="1"/>
      <c r="D17" s="10"/>
      <c r="E17" s="1"/>
    </row>
    <row r="18" spans="2:46" s="1" customFormat="1" ht="13.5" thickBot="1">
      <c r="B18" s="28" t="s">
        <v>584</v>
      </c>
      <c r="C18" s="27"/>
      <c r="D18" s="28" t="s">
        <v>711</v>
      </c>
      <c r="E18" s="27"/>
      <c r="F18" s="41">
        <v>89588</v>
      </c>
      <c r="G18" s="41">
        <v>60446</v>
      </c>
      <c r="H18" s="41">
        <v>52059</v>
      </c>
      <c r="I18" s="41">
        <v>65860</v>
      </c>
      <c r="J18" s="41">
        <v>67054</v>
      </c>
      <c r="K18" s="41">
        <v>46847.000000000029</v>
      </c>
      <c r="L18" s="41">
        <v>231820.00000000003</v>
      </c>
      <c r="M18" s="41">
        <v>70580</v>
      </c>
      <c r="N18" s="41">
        <v>62973</v>
      </c>
      <c r="O18" s="41">
        <v>56938</v>
      </c>
      <c r="P18" s="41">
        <v>94115</v>
      </c>
      <c r="Q18" s="41">
        <v>284606</v>
      </c>
      <c r="R18" s="41">
        <v>344807</v>
      </c>
      <c r="S18" s="41">
        <v>294763</v>
      </c>
      <c r="T18" s="41">
        <f>T16+T9</f>
        <v>310853</v>
      </c>
      <c r="U18" s="41">
        <f t="shared" ref="U18:Z18" si="14">U9+U16</f>
        <v>307777</v>
      </c>
      <c r="V18" s="41">
        <f t="shared" si="14"/>
        <v>1258200</v>
      </c>
      <c r="W18" s="41">
        <f t="shared" si="14"/>
        <v>230913</v>
      </c>
      <c r="X18" s="41">
        <f t="shared" si="14"/>
        <v>174052</v>
      </c>
      <c r="Y18" s="41">
        <f t="shared" si="14"/>
        <v>404965</v>
      </c>
      <c r="Z18" s="41">
        <f t="shared" si="14"/>
        <v>194912</v>
      </c>
      <c r="AA18" s="41">
        <f>AA9+AA16</f>
        <v>599877</v>
      </c>
      <c r="AB18" s="41">
        <f>AC18-AA18</f>
        <v>79940</v>
      </c>
      <c r="AC18" s="41">
        <f>AC9+AC16</f>
        <v>679817</v>
      </c>
      <c r="AD18" s="41">
        <f>AD9+AD16</f>
        <v>199490</v>
      </c>
      <c r="AE18" s="41">
        <f>AE9+AE16</f>
        <v>269101</v>
      </c>
      <c r="AF18" s="41">
        <f t="shared" ref="AF18:AJ18" si="15">AF9+AF16</f>
        <v>468591</v>
      </c>
      <c r="AG18" s="41">
        <f t="shared" si="15"/>
        <v>236404</v>
      </c>
      <c r="AH18" s="41">
        <f t="shared" si="15"/>
        <v>704995</v>
      </c>
      <c r="AI18" s="41">
        <f t="shared" si="15"/>
        <v>243225</v>
      </c>
      <c r="AJ18" s="41">
        <f t="shared" si="15"/>
        <v>948220</v>
      </c>
      <c r="AK18" s="41">
        <f t="shared" ref="AK18:AL18" si="16">AK9+AK16</f>
        <v>259765</v>
      </c>
      <c r="AL18" s="41">
        <f t="shared" si="16"/>
        <v>178405</v>
      </c>
      <c r="AM18" s="41">
        <f t="shared" ref="AM18:AN18" si="17">AM9+AM16</f>
        <v>438170</v>
      </c>
      <c r="AN18" s="41">
        <f t="shared" si="17"/>
        <v>157604</v>
      </c>
      <c r="AO18" s="41">
        <f t="shared" ref="AO18:AP18" si="18">AO9+AO16</f>
        <v>595774</v>
      </c>
      <c r="AP18" s="41">
        <f t="shared" si="18"/>
        <v>125805</v>
      </c>
      <c r="AQ18" s="41">
        <f t="shared" ref="AQ18" si="19">AQ9+AQ16</f>
        <v>721579</v>
      </c>
      <c r="AR18" s="41">
        <v>150094</v>
      </c>
      <c r="AS18" s="41">
        <f t="shared" ref="AS18:AT18" si="20">AS9+AS16</f>
        <v>223056</v>
      </c>
      <c r="AT18" s="41">
        <f t="shared" si="20"/>
        <v>373150</v>
      </c>
    </row>
    <row r="19" spans="2:46">
      <c r="B19" s="10"/>
      <c r="C19" s="1"/>
      <c r="D19" s="10"/>
      <c r="E19" s="1"/>
    </row>
    <row r="20" spans="2:46">
      <c r="B20" s="7" t="s">
        <v>42</v>
      </c>
      <c r="C20" s="1"/>
      <c r="D20" s="7" t="s">
        <v>712</v>
      </c>
      <c r="E20" s="1"/>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row>
    <row r="21" spans="2:46">
      <c r="B21" s="10" t="s">
        <v>42</v>
      </c>
      <c r="C21" s="1"/>
      <c r="D21" s="10" t="s">
        <v>978</v>
      </c>
      <c r="E21" s="1"/>
      <c r="F21" s="50">
        <v>-894</v>
      </c>
      <c r="G21" s="50">
        <v>11392</v>
      </c>
      <c r="H21" s="50">
        <v>-256891</v>
      </c>
      <c r="I21" s="50">
        <v>-85454</v>
      </c>
      <c r="J21" s="50">
        <v>-53788</v>
      </c>
      <c r="K21" s="50">
        <v>46676</v>
      </c>
      <c r="L21" s="50">
        <v>-349457</v>
      </c>
      <c r="M21" s="50">
        <v>-94785</v>
      </c>
      <c r="N21" s="50">
        <v>63670</v>
      </c>
      <c r="O21" s="50">
        <v>-21140</v>
      </c>
      <c r="P21" s="13">
        <v>1266</v>
      </c>
      <c r="Q21" s="50">
        <v>-50989</v>
      </c>
      <c r="R21" s="50">
        <v>185855</v>
      </c>
      <c r="S21" s="50">
        <v>-126853</v>
      </c>
      <c r="T21" s="13">
        <v>-45488</v>
      </c>
      <c r="U21" s="13">
        <v>52886</v>
      </c>
      <c r="V21" s="13">
        <v>66400</v>
      </c>
      <c r="W21" s="13">
        <v>6301</v>
      </c>
      <c r="X21" s="13">
        <v>55392</v>
      </c>
      <c r="Y21" s="13">
        <v>61693</v>
      </c>
      <c r="Z21" s="13">
        <v>-48395</v>
      </c>
      <c r="AA21" s="13">
        <v>13298</v>
      </c>
      <c r="AB21" s="13">
        <v>34785</v>
      </c>
      <c r="AC21" s="13">
        <v>49012</v>
      </c>
      <c r="AD21" s="13">
        <v>-70978</v>
      </c>
      <c r="AE21" s="13">
        <v>-216252</v>
      </c>
      <c r="AF21" s="13">
        <v>-287230</v>
      </c>
      <c r="AG21" s="13">
        <v>-40324</v>
      </c>
      <c r="AH21" s="13">
        <v>-327554</v>
      </c>
      <c r="AI21" s="13">
        <v>-257261</v>
      </c>
      <c r="AJ21" s="13">
        <v>-584815</v>
      </c>
      <c r="AK21" s="13">
        <v>48997</v>
      </c>
      <c r="AL21" s="13">
        <v>75421</v>
      </c>
      <c r="AM21" s="13">
        <v>124418</v>
      </c>
      <c r="AN21" s="13">
        <v>-8980</v>
      </c>
      <c r="AO21" s="13">
        <v>115438</v>
      </c>
      <c r="AP21" s="13">
        <v>-60823</v>
      </c>
      <c r="AQ21" s="13">
        <v>54615</v>
      </c>
      <c r="AR21" s="13">
        <v>-1042</v>
      </c>
      <c r="AS21" s="13">
        <v>10781</v>
      </c>
      <c r="AT21" s="13">
        <f>AS21+AR21</f>
        <v>9739</v>
      </c>
    </row>
    <row r="22" spans="2:46" ht="13.5" thickBot="1">
      <c r="F22" s="13"/>
      <c r="G22" s="13"/>
      <c r="H22" s="13"/>
      <c r="I22" s="13"/>
      <c r="J22" s="13"/>
      <c r="K22" s="13"/>
      <c r="L22" s="13"/>
      <c r="M22" s="13"/>
      <c r="N22" s="13"/>
      <c r="O22" s="13"/>
      <c r="P22" s="13"/>
      <c r="Q22" s="13"/>
      <c r="R22" s="13"/>
      <c r="S22" s="13"/>
      <c r="T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row>
    <row r="23" spans="2:46" ht="13.5" thickBot="1">
      <c r="B23" s="28" t="s">
        <v>47</v>
      </c>
      <c r="C23" s="27"/>
      <c r="D23" s="28" t="s">
        <v>623</v>
      </c>
      <c r="E23" s="27"/>
      <c r="F23" s="41">
        <v>88694</v>
      </c>
      <c r="G23" s="41">
        <v>71838</v>
      </c>
      <c r="H23" s="41">
        <v>-204832</v>
      </c>
      <c r="I23" s="41">
        <v>-19594</v>
      </c>
      <c r="J23" s="41">
        <v>13266</v>
      </c>
      <c r="K23" s="41">
        <v>93523.000000000029</v>
      </c>
      <c r="L23" s="41">
        <v>-117636.99999999997</v>
      </c>
      <c r="M23" s="41">
        <v>-24205</v>
      </c>
      <c r="N23" s="41">
        <v>126643</v>
      </c>
      <c r="O23" s="41">
        <v>35798</v>
      </c>
      <c r="P23" s="41">
        <v>95381</v>
      </c>
      <c r="Q23" s="41">
        <v>233617</v>
      </c>
      <c r="R23" s="41">
        <v>530662</v>
      </c>
      <c r="S23" s="41">
        <v>167910</v>
      </c>
      <c r="T23" s="41">
        <f>T21+T18</f>
        <v>265365</v>
      </c>
      <c r="U23" s="41">
        <f t="shared" ref="U23:AA23" si="21">U18+U21</f>
        <v>360663</v>
      </c>
      <c r="V23" s="41">
        <f t="shared" si="21"/>
        <v>1324600</v>
      </c>
      <c r="W23" s="41">
        <f t="shared" si="21"/>
        <v>237214</v>
      </c>
      <c r="X23" s="41">
        <f t="shared" si="21"/>
        <v>229444</v>
      </c>
      <c r="Y23" s="41">
        <f t="shared" si="21"/>
        <v>466658</v>
      </c>
      <c r="Z23" s="41">
        <f t="shared" si="21"/>
        <v>146517</v>
      </c>
      <c r="AA23" s="41">
        <f t="shared" si="21"/>
        <v>613175</v>
      </c>
      <c r="AB23" s="41">
        <f>AC23-AA23</f>
        <v>115654</v>
      </c>
      <c r="AC23" s="41">
        <f>AC18+AC21</f>
        <v>728829</v>
      </c>
      <c r="AD23" s="41">
        <f>AD18+AD21</f>
        <v>128512</v>
      </c>
      <c r="AE23" s="41">
        <f>AE18+AE21</f>
        <v>52849</v>
      </c>
      <c r="AF23" s="41">
        <f t="shared" ref="AF23:AJ23" si="22">AF18+AF21</f>
        <v>181361</v>
      </c>
      <c r="AG23" s="41">
        <f t="shared" si="22"/>
        <v>196080</v>
      </c>
      <c r="AH23" s="41">
        <f t="shared" si="22"/>
        <v>377441</v>
      </c>
      <c r="AI23" s="41">
        <f t="shared" si="22"/>
        <v>-14036</v>
      </c>
      <c r="AJ23" s="41">
        <f t="shared" si="22"/>
        <v>363405</v>
      </c>
      <c r="AK23" s="41">
        <f t="shared" ref="AK23:AL23" si="23">AK18+AK21</f>
        <v>308762</v>
      </c>
      <c r="AL23" s="41">
        <f t="shared" si="23"/>
        <v>253826</v>
      </c>
      <c r="AM23" s="41">
        <f t="shared" ref="AM23:AN23" si="24">AM18+AM21</f>
        <v>562588</v>
      </c>
      <c r="AN23" s="41">
        <f t="shared" si="24"/>
        <v>148624</v>
      </c>
      <c r="AO23" s="41">
        <f t="shared" ref="AO23:AP23" si="25">AO18+AO21</f>
        <v>711212</v>
      </c>
      <c r="AP23" s="41">
        <f t="shared" si="25"/>
        <v>64982</v>
      </c>
      <c r="AQ23" s="41">
        <f t="shared" ref="AQ23" si="26">AQ18+AQ21</f>
        <v>776194</v>
      </c>
      <c r="AR23" s="41">
        <v>149052</v>
      </c>
      <c r="AS23" s="41">
        <f t="shared" ref="AS23:AT23" si="27">AS18+AS21</f>
        <v>233837</v>
      </c>
      <c r="AT23" s="41">
        <f t="shared" si="27"/>
        <v>382889</v>
      </c>
    </row>
    <row r="24" spans="2:46" s="38" customFormat="1">
      <c r="B24" s="34"/>
      <c r="C24" s="36"/>
      <c r="D24" s="34"/>
      <c r="E24" s="36"/>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37"/>
      <c r="AH24" s="37"/>
      <c r="AI24" s="37"/>
      <c r="AJ24" s="37"/>
      <c r="AK24" s="37"/>
      <c r="AL24" s="37"/>
      <c r="AM24" s="37"/>
      <c r="AN24" s="37"/>
      <c r="AO24" s="37"/>
      <c r="AP24" s="37"/>
      <c r="AQ24" s="37"/>
      <c r="AR24" s="37"/>
      <c r="AS24" s="37"/>
      <c r="AT24" s="37"/>
    </row>
    <row r="25" spans="2:46">
      <c r="B25" s="7" t="s">
        <v>52</v>
      </c>
      <c r="C25" s="1"/>
      <c r="D25" s="7" t="s">
        <v>624</v>
      </c>
      <c r="E25" s="1"/>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row>
    <row r="26" spans="2:46">
      <c r="B26" s="10" t="s">
        <v>49</v>
      </c>
      <c r="C26" s="1"/>
      <c r="D26" s="10" t="s">
        <v>625</v>
      </c>
      <c r="E26" s="1"/>
      <c r="F26" s="13">
        <v>-17649</v>
      </c>
      <c r="G26" s="13">
        <v>-14519</v>
      </c>
      <c r="H26" s="13">
        <v>-7354</v>
      </c>
      <c r="I26" s="13">
        <v>-5316</v>
      </c>
      <c r="J26" s="13">
        <v>-2783</v>
      </c>
      <c r="K26" s="13">
        <v>172</v>
      </c>
      <c r="L26" s="13">
        <v>-15281</v>
      </c>
      <c r="M26" s="13">
        <v>-2163</v>
      </c>
      <c r="N26" s="13">
        <v>-17986</v>
      </c>
      <c r="O26" s="13">
        <v>-13669</v>
      </c>
      <c r="P26" s="13">
        <v>-12835</v>
      </c>
      <c r="Q26" s="13">
        <v>-46653</v>
      </c>
      <c r="R26" s="13">
        <v>-51087</v>
      </c>
      <c r="S26" s="13">
        <v>-44422</v>
      </c>
      <c r="T26" s="13">
        <v>-81140</v>
      </c>
      <c r="U26" s="13">
        <v>47403</v>
      </c>
      <c r="V26" s="13">
        <v>-329141</v>
      </c>
      <c r="W26" s="13">
        <v>-45468</v>
      </c>
      <c r="X26" s="13">
        <v>6819</v>
      </c>
      <c r="Y26" s="13">
        <v>-38649</v>
      </c>
      <c r="Z26" s="13">
        <v>31622</v>
      </c>
      <c r="AA26" s="13">
        <v>-7027</v>
      </c>
      <c r="AB26" s="13">
        <v>-25641</v>
      </c>
      <c r="AC26" s="13">
        <v>-76162</v>
      </c>
      <c r="AD26" s="13">
        <v>-8061</v>
      </c>
      <c r="AE26" s="13">
        <v>4621</v>
      </c>
      <c r="AF26" s="13">
        <v>-3440</v>
      </c>
      <c r="AG26" s="13">
        <v>-4316</v>
      </c>
      <c r="AH26" s="13">
        <v>-7756</v>
      </c>
      <c r="AI26" s="13">
        <v>-3432</v>
      </c>
      <c r="AJ26" s="13">
        <v>-11188</v>
      </c>
      <c r="AK26" s="13">
        <v>-6552</v>
      </c>
      <c r="AL26" s="13">
        <v>-3713</v>
      </c>
      <c r="AM26" s="13">
        <v>-10265</v>
      </c>
      <c r="AN26" s="13">
        <v>-1382</v>
      </c>
      <c r="AO26" s="13">
        <v>-11647</v>
      </c>
      <c r="AP26" s="13">
        <v>-1989</v>
      </c>
      <c r="AQ26" s="13">
        <v>-13636</v>
      </c>
      <c r="AR26" s="13">
        <v>-2559</v>
      </c>
      <c r="AS26" s="13">
        <v>-6368</v>
      </c>
      <c r="AT26" s="13">
        <f t="shared" ref="AT26:AT27" si="28">AS26+AR26</f>
        <v>-8927</v>
      </c>
    </row>
    <row r="27" spans="2:46">
      <c r="B27" s="10" t="s">
        <v>50</v>
      </c>
      <c r="C27" s="1"/>
      <c r="D27" s="10" t="s">
        <v>626</v>
      </c>
      <c r="E27" s="1"/>
      <c r="F27" s="13">
        <v>1904</v>
      </c>
      <c r="G27" s="13">
        <v>6363</v>
      </c>
      <c r="H27" s="13">
        <v>76145</v>
      </c>
      <c r="I27" s="13">
        <v>9754</v>
      </c>
      <c r="J27" s="13">
        <v>-4141</v>
      </c>
      <c r="K27" s="13">
        <v>-30599</v>
      </c>
      <c r="L27" s="13">
        <v>51159</v>
      </c>
      <c r="M27" s="13">
        <v>13478</v>
      </c>
      <c r="N27" s="13">
        <v>-14091</v>
      </c>
      <c r="O27" s="13">
        <v>797</v>
      </c>
      <c r="P27" s="13">
        <v>-10249</v>
      </c>
      <c r="Q27" s="13">
        <v>-10065</v>
      </c>
      <c r="R27" s="13">
        <v>-77737</v>
      </c>
      <c r="S27" s="13">
        <v>7543</v>
      </c>
      <c r="T27" s="13">
        <v>27658</v>
      </c>
      <c r="U27" s="13">
        <v>573</v>
      </c>
      <c r="V27" s="13">
        <v>-41963</v>
      </c>
      <c r="W27" s="13">
        <v>7767</v>
      </c>
      <c r="X27" s="13">
        <v>-58622</v>
      </c>
      <c r="Y27" s="13">
        <v>-50855</v>
      </c>
      <c r="Z27" s="13">
        <v>-33042</v>
      </c>
      <c r="AA27" s="13">
        <v>-83897</v>
      </c>
      <c r="AB27" s="13">
        <v>96672</v>
      </c>
      <c r="AC27" s="13">
        <v>12775</v>
      </c>
      <c r="AD27" s="13">
        <v>-10418</v>
      </c>
      <c r="AE27" s="13">
        <v>78711</v>
      </c>
      <c r="AF27" s="13">
        <v>68293</v>
      </c>
      <c r="AG27" s="13">
        <v>-32924</v>
      </c>
      <c r="AH27" s="13">
        <v>35369</v>
      </c>
      <c r="AI27" s="13">
        <v>49912</v>
      </c>
      <c r="AJ27" s="13">
        <v>85281</v>
      </c>
      <c r="AK27" s="13">
        <v>-74681</v>
      </c>
      <c r="AL27" s="13">
        <v>-11974</v>
      </c>
      <c r="AM27" s="13">
        <v>-86655</v>
      </c>
      <c r="AN27" s="13">
        <v>-25305</v>
      </c>
      <c r="AO27" s="13">
        <v>-111960</v>
      </c>
      <c r="AP27" s="13">
        <v>-12246</v>
      </c>
      <c r="AQ27" s="13">
        <v>-124206</v>
      </c>
      <c r="AR27" s="13">
        <v>-22696</v>
      </c>
      <c r="AS27" s="13">
        <v>-24786</v>
      </c>
      <c r="AT27" s="13">
        <f t="shared" si="28"/>
        <v>-47482</v>
      </c>
    </row>
    <row r="28" spans="2:46" ht="4.5" customHeight="1" thickBot="1">
      <c r="B28" s="10"/>
      <c r="C28" s="1"/>
      <c r="D28" s="10"/>
      <c r="E28" s="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2:46" ht="13.5" thickBot="1">
      <c r="B29" s="28" t="s">
        <v>51</v>
      </c>
      <c r="C29" s="27"/>
      <c r="D29" s="28" t="s">
        <v>627</v>
      </c>
      <c r="E29" s="27"/>
      <c r="F29" s="40">
        <v>-15745</v>
      </c>
      <c r="G29" s="40">
        <v>-8156</v>
      </c>
      <c r="H29" s="40">
        <v>68791</v>
      </c>
      <c r="I29" s="40">
        <v>4438</v>
      </c>
      <c r="J29" s="40">
        <v>-6924</v>
      </c>
      <c r="K29" s="40">
        <v>-30427</v>
      </c>
      <c r="L29" s="40">
        <v>35878</v>
      </c>
      <c r="M29" s="40">
        <v>11315</v>
      </c>
      <c r="N29" s="40">
        <v>-32077</v>
      </c>
      <c r="O29" s="40">
        <v>-12872</v>
      </c>
      <c r="P29" s="40">
        <v>-23084</v>
      </c>
      <c r="Q29" s="40">
        <v>-56718</v>
      </c>
      <c r="R29" s="40">
        <v>-128824</v>
      </c>
      <c r="S29" s="40">
        <v>-36879</v>
      </c>
      <c r="T29" s="40">
        <v>-53482</v>
      </c>
      <c r="U29" s="40">
        <v>47976</v>
      </c>
      <c r="V29" s="40">
        <v>-371104</v>
      </c>
      <c r="W29" s="40">
        <v>-37701</v>
      </c>
      <c r="X29" s="40">
        <v>-51803</v>
      </c>
      <c r="Y29" s="40">
        <v>-89504</v>
      </c>
      <c r="Z29" s="40">
        <v>-1420</v>
      </c>
      <c r="AA29" s="40">
        <v>-90924</v>
      </c>
      <c r="AB29" s="40">
        <v>27537</v>
      </c>
      <c r="AC29" s="40">
        <v>-63387</v>
      </c>
      <c r="AD29" s="40">
        <v>-18479</v>
      </c>
      <c r="AE29" s="40">
        <v>83332</v>
      </c>
      <c r="AF29" s="40">
        <v>64853</v>
      </c>
      <c r="AG29" s="40">
        <v>-37240</v>
      </c>
      <c r="AH29" s="40">
        <f t="shared" ref="AH29:AJ29" si="29">SUM(AH26:AH27)</f>
        <v>27613</v>
      </c>
      <c r="AI29" s="40">
        <f t="shared" si="29"/>
        <v>46480</v>
      </c>
      <c r="AJ29" s="40">
        <f t="shared" si="29"/>
        <v>74093</v>
      </c>
      <c r="AK29" s="40">
        <f t="shared" ref="AK29:AL29" si="30">SUM(AK26:AK27)</f>
        <v>-81233</v>
      </c>
      <c r="AL29" s="40">
        <f t="shared" si="30"/>
        <v>-15687</v>
      </c>
      <c r="AM29" s="40">
        <f t="shared" ref="AM29:AN29" si="31">SUM(AM26:AM27)</f>
        <v>-96920</v>
      </c>
      <c r="AN29" s="40">
        <f t="shared" si="31"/>
        <v>-26687</v>
      </c>
      <c r="AO29" s="40">
        <f t="shared" ref="AO29:AP29" si="32">SUM(AO26:AO27)</f>
        <v>-123607</v>
      </c>
      <c r="AP29" s="40">
        <f t="shared" si="32"/>
        <v>-14235</v>
      </c>
      <c r="AQ29" s="40">
        <f t="shared" ref="AQ29" si="33">SUM(AQ26:AQ27)</f>
        <v>-137842</v>
      </c>
      <c r="AR29" s="40">
        <v>-25255</v>
      </c>
      <c r="AS29" s="40">
        <f t="shared" ref="AS29:AT29" si="34">SUM(AS26:AS27)</f>
        <v>-31154</v>
      </c>
      <c r="AT29" s="40">
        <f t="shared" si="34"/>
        <v>-56409</v>
      </c>
    </row>
    <row r="30" spans="2:46" ht="13.5" thickBot="1">
      <c r="B30" s="10"/>
      <c r="C30" s="1"/>
      <c r="D30" s="10"/>
      <c r="E30" s="1"/>
    </row>
    <row r="31" spans="2:46" ht="13.5" thickBot="1">
      <c r="B31" s="28" t="s">
        <v>585</v>
      </c>
      <c r="C31" s="33"/>
      <c r="D31" s="28" t="s">
        <v>628</v>
      </c>
      <c r="E31" s="33"/>
      <c r="F31" s="41">
        <v>72949</v>
      </c>
      <c r="G31" s="41">
        <v>63682</v>
      </c>
      <c r="H31" s="41">
        <v>-136041</v>
      </c>
      <c r="I31" s="41">
        <v>-15156</v>
      </c>
      <c r="J31" s="41">
        <v>6342</v>
      </c>
      <c r="K31" s="41">
        <v>63096.000000000029</v>
      </c>
      <c r="L31" s="41">
        <v>-81758.999999999971</v>
      </c>
      <c r="M31" s="41">
        <v>-12890</v>
      </c>
      <c r="N31" s="41">
        <v>94566</v>
      </c>
      <c r="O31" s="41">
        <v>22926</v>
      </c>
      <c r="P31" s="41">
        <v>72297</v>
      </c>
      <c r="Q31" s="41">
        <v>176899</v>
      </c>
      <c r="R31" s="41">
        <v>401838</v>
      </c>
      <c r="S31" s="41">
        <v>131031</v>
      </c>
      <c r="T31" s="41">
        <v>211883</v>
      </c>
      <c r="U31" s="41">
        <v>408639</v>
      </c>
      <c r="V31" s="41">
        <v>953496</v>
      </c>
      <c r="W31" s="41">
        <v>199513</v>
      </c>
      <c r="X31" s="41">
        <v>177641</v>
      </c>
      <c r="Y31" s="41">
        <v>377154</v>
      </c>
      <c r="Z31" s="41">
        <v>145097</v>
      </c>
      <c r="AA31" s="41">
        <v>522251</v>
      </c>
      <c r="AB31" s="41">
        <v>143191</v>
      </c>
      <c r="AC31" s="41">
        <v>665442</v>
      </c>
      <c r="AD31" s="41">
        <v>110033</v>
      </c>
      <c r="AE31" s="41">
        <v>136181</v>
      </c>
      <c r="AF31" s="41">
        <v>246214</v>
      </c>
      <c r="AG31" s="41">
        <v>158840</v>
      </c>
      <c r="AH31" s="41">
        <f t="shared" ref="AH31:AJ31" si="35">AH23+AH29</f>
        <v>405054</v>
      </c>
      <c r="AI31" s="41">
        <f t="shared" si="35"/>
        <v>32444</v>
      </c>
      <c r="AJ31" s="41">
        <f t="shared" si="35"/>
        <v>437498</v>
      </c>
      <c r="AK31" s="41">
        <f t="shared" ref="AK31:AL31" si="36">AK23+AK29</f>
        <v>227529</v>
      </c>
      <c r="AL31" s="41">
        <f t="shared" si="36"/>
        <v>238139</v>
      </c>
      <c r="AM31" s="41">
        <f t="shared" ref="AM31:AN31" si="37">AM23+AM29</f>
        <v>465668</v>
      </c>
      <c r="AN31" s="41">
        <f t="shared" si="37"/>
        <v>121937</v>
      </c>
      <c r="AO31" s="41">
        <f t="shared" ref="AO31:AP31" si="38">AO23+AO29</f>
        <v>587605</v>
      </c>
      <c r="AP31" s="41">
        <f t="shared" si="38"/>
        <v>50747</v>
      </c>
      <c r="AQ31" s="41">
        <f t="shared" ref="AQ31" si="39">AQ23+AQ29</f>
        <v>638352</v>
      </c>
      <c r="AR31" s="41">
        <v>123797</v>
      </c>
      <c r="AS31" s="41">
        <f t="shared" ref="AS31:AT31" si="40">AS23+AS29</f>
        <v>202683</v>
      </c>
      <c r="AT31" s="41">
        <f t="shared" si="40"/>
        <v>326480</v>
      </c>
    </row>
    <row r="32" spans="2:46">
      <c r="P32" s="13"/>
    </row>
    <row r="33" spans="5:36">
      <c r="E33" s="137"/>
      <c r="F33" s="137"/>
      <c r="G33" s="137"/>
      <c r="H33" s="137"/>
      <c r="I33" s="137"/>
      <c r="J33" s="137"/>
      <c r="K33" s="137"/>
      <c r="L33" s="137"/>
      <c r="M33" s="137"/>
      <c r="N33" s="137"/>
      <c r="O33" s="137"/>
      <c r="P33" s="137"/>
      <c r="Q33" s="137"/>
      <c r="R33" s="137"/>
      <c r="S33" s="137"/>
      <c r="T33" s="137"/>
      <c r="U33" s="137"/>
      <c r="V33" s="137"/>
      <c r="W33" s="137"/>
      <c r="X33" s="137"/>
      <c r="Y33" s="137"/>
      <c r="Z33" s="137"/>
      <c r="AA33" s="137"/>
      <c r="AB33" s="137"/>
      <c r="AC33" s="137"/>
      <c r="AD33" s="137"/>
      <c r="AE33" s="137"/>
      <c r="AF33" s="137"/>
      <c r="AG33" s="137"/>
      <c r="AH33" s="137"/>
      <c r="AI33" s="137"/>
      <c r="AJ33" s="137"/>
    </row>
    <row r="43" spans="5:36">
      <c r="P43" s="13"/>
    </row>
    <row r="44" spans="5:36">
      <c r="P44" s="13"/>
    </row>
    <row r="45" spans="5:36">
      <c r="P45" s="13"/>
    </row>
    <row r="46" spans="5:36">
      <c r="P46" s="13"/>
    </row>
  </sheetData>
  <pageMargins left="0.511811024" right="0.511811024" top="0.78740157499999996" bottom="0.78740157499999996" header="0.31496062000000002" footer="0.31496062000000002"/>
  <pageSetup paperSize="9" orientation="portrait" r:id="rId1"/>
  <ignoredErrors>
    <ignoredError sqref="AB9:AB25"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A9167-47D3-47F4-ACC6-8AF617EA8224}">
  <dimension ref="B1:AT81"/>
  <sheetViews>
    <sheetView showGridLines="0" zoomScaleNormal="100" workbookViewId="0">
      <pane xSplit="4" ySplit="4" topLeftCell="AR11" activePane="bottomRight" state="frozen"/>
      <selection activeCell="B30" sqref="B30"/>
      <selection pane="topRight" activeCell="B30" sqref="B30"/>
      <selection pane="bottomLeft" activeCell="B30" sqref="B30"/>
      <selection pane="bottomRight" activeCell="AT15" sqref="AT15"/>
    </sheetView>
  </sheetViews>
  <sheetFormatPr defaultColWidth="9.1796875" defaultRowHeight="13" outlineLevelCol="1"/>
  <cols>
    <col min="1" max="1" width="3" style="3" customWidth="1"/>
    <col min="2" max="2" width="38.54296875" style="3" customWidth="1"/>
    <col min="3" max="3" width="1.453125" style="3" customWidth="1"/>
    <col min="4" max="4" width="42.453125" style="3" bestFit="1" customWidth="1"/>
    <col min="5" max="5" width="1.453125" style="3" customWidth="1"/>
    <col min="6" max="6" width="12" style="3" bestFit="1" customWidth="1"/>
    <col min="7" max="7" width="12.7265625" style="3" bestFit="1" customWidth="1"/>
    <col min="8" max="11" width="12.7265625" style="3" hidden="1" customWidth="1" outlineLevel="1"/>
    <col min="12" max="12" width="13.453125" style="3" customWidth="1" collapsed="1"/>
    <col min="13" max="16" width="12.7265625" style="3" hidden="1" customWidth="1" outlineLevel="1"/>
    <col min="17" max="17" width="12.7265625" style="3" customWidth="1" collapsed="1"/>
    <col min="18" max="21" width="12.7265625" style="3" hidden="1" customWidth="1" outlineLevel="1"/>
    <col min="22" max="22" width="12.7265625" style="3" customWidth="1" collapsed="1"/>
    <col min="23" max="28" width="12.7265625" style="3" hidden="1" customWidth="1" outlineLevel="1"/>
    <col min="29" max="29" width="12.7265625" style="3" customWidth="1" collapsed="1"/>
    <col min="30" max="35" width="12.7265625" style="3" customWidth="1" outlineLevel="1"/>
    <col min="36" max="38" width="13.26953125" style="3" customWidth="1"/>
    <col min="39" max="46" width="13.54296875" style="3" customWidth="1"/>
    <col min="47" max="16384" width="9.1796875" style="3"/>
  </cols>
  <sheetData>
    <row r="1" spans="2:46">
      <c r="G1" s="18"/>
      <c r="H1" s="18"/>
      <c r="I1" s="18"/>
      <c r="J1" s="18"/>
      <c r="K1" s="18"/>
      <c r="M1" s="18"/>
      <c r="N1" s="18"/>
      <c r="O1" s="18"/>
      <c r="P1" s="18"/>
      <c r="Q1" s="18"/>
      <c r="R1" s="18"/>
      <c r="S1" s="18"/>
      <c r="T1" s="18"/>
      <c r="U1" s="18"/>
      <c r="V1" s="18"/>
      <c r="W1" s="18"/>
      <c r="X1" s="18"/>
      <c r="Y1" s="18"/>
      <c r="Z1" s="18"/>
      <c r="AA1" s="18"/>
      <c r="AB1" s="18"/>
      <c r="AC1" s="18"/>
      <c r="AD1" s="18"/>
      <c r="AE1" s="18"/>
      <c r="AF1" s="18"/>
      <c r="AG1" s="18"/>
      <c r="AH1" s="18"/>
      <c r="AI1" s="18"/>
      <c r="AJ1" s="18"/>
    </row>
    <row r="2" spans="2:46" ht="18.5">
      <c r="D2" s="147" t="s">
        <v>636</v>
      </c>
      <c r="F2" s="17"/>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row>
    <row r="3" spans="2:46">
      <c r="F3" s="3" t="str">
        <f t="shared" ref="F3:K3" si="0">LEFT(F4,4)</f>
        <v>2018</v>
      </c>
      <c r="G3" s="3" t="str">
        <f t="shared" si="0"/>
        <v>2019</v>
      </c>
      <c r="H3" s="3" t="str">
        <f t="shared" si="0"/>
        <v>1T20</v>
      </c>
      <c r="I3" s="3" t="str">
        <f t="shared" si="0"/>
        <v>2T20</v>
      </c>
      <c r="J3" s="3" t="str">
        <f t="shared" si="0"/>
        <v>3T20</v>
      </c>
      <c r="K3" s="3" t="str">
        <f t="shared" si="0"/>
        <v>4T20</v>
      </c>
      <c r="L3" s="3">
        <v>2020</v>
      </c>
      <c r="M3" s="3" t="s">
        <v>1182</v>
      </c>
      <c r="N3" s="3" t="s">
        <v>1183</v>
      </c>
      <c r="O3" s="3" t="s">
        <v>1184</v>
      </c>
      <c r="P3" s="3" t="s">
        <v>1185</v>
      </c>
      <c r="Q3" s="3" t="s">
        <v>1186</v>
      </c>
      <c r="R3" s="3" t="s">
        <v>881</v>
      </c>
      <c r="S3" s="3" t="s">
        <v>882</v>
      </c>
      <c r="T3" s="3" t="s">
        <v>762</v>
      </c>
      <c r="U3" s="3" t="s">
        <v>763</v>
      </c>
      <c r="V3" s="3" t="s">
        <v>804</v>
      </c>
      <c r="W3" s="3" t="s">
        <v>883</v>
      </c>
      <c r="X3" s="3" t="s">
        <v>884</v>
      </c>
      <c r="Y3" s="3" t="s">
        <v>733</v>
      </c>
      <c r="Z3" s="3" t="s">
        <v>947</v>
      </c>
      <c r="AA3" s="3" t="s">
        <v>935</v>
      </c>
      <c r="AB3" s="3" t="s">
        <v>991</v>
      </c>
      <c r="AC3" s="3" t="s">
        <v>992</v>
      </c>
      <c r="AD3" s="3" t="s">
        <v>1004</v>
      </c>
      <c r="AE3" s="3" t="s">
        <v>1005</v>
      </c>
      <c r="AF3" s="3" t="s">
        <v>1093</v>
      </c>
      <c r="AG3" s="3" t="s">
        <v>1006</v>
      </c>
      <c r="AH3" s="3" t="s">
        <v>1092</v>
      </c>
      <c r="AI3" s="3" t="s">
        <v>1007</v>
      </c>
      <c r="AJ3" s="3" t="s">
        <v>1187</v>
      </c>
      <c r="AK3" s="3" t="s">
        <v>1008</v>
      </c>
      <c r="AL3" s="3" t="s">
        <v>1067</v>
      </c>
      <c r="AM3" s="3" t="s">
        <v>1174</v>
      </c>
      <c r="AN3" s="3" t="s">
        <v>1068</v>
      </c>
      <c r="AO3" s="3" t="s">
        <v>1188</v>
      </c>
    </row>
    <row r="4" spans="2:46" ht="16">
      <c r="B4" s="23" t="s">
        <v>25</v>
      </c>
      <c r="C4" s="1"/>
      <c r="D4" s="23" t="s">
        <v>587</v>
      </c>
      <c r="E4" s="1"/>
      <c r="F4" s="2">
        <v>2018</v>
      </c>
      <c r="G4" s="2">
        <v>2019</v>
      </c>
      <c r="H4" s="22" t="s">
        <v>629</v>
      </c>
      <c r="I4" s="22" t="s">
        <v>630</v>
      </c>
      <c r="J4" s="22" t="s">
        <v>631</v>
      </c>
      <c r="K4" s="22" t="s">
        <v>632</v>
      </c>
      <c r="L4" s="2">
        <v>2020</v>
      </c>
      <c r="M4" s="22" t="s">
        <v>590</v>
      </c>
      <c r="N4" s="22" t="s">
        <v>633</v>
      </c>
      <c r="O4" s="22" t="s">
        <v>634</v>
      </c>
      <c r="P4" s="22" t="s">
        <v>635</v>
      </c>
      <c r="Q4" s="22">
        <v>2021</v>
      </c>
      <c r="R4" s="22" t="s">
        <v>593</v>
      </c>
      <c r="S4" s="22" t="s">
        <v>731</v>
      </c>
      <c r="T4" s="22" t="s">
        <v>755</v>
      </c>
      <c r="U4" s="22" t="s">
        <v>803</v>
      </c>
      <c r="V4" s="22">
        <v>2022</v>
      </c>
      <c r="W4" s="22" t="s">
        <v>813</v>
      </c>
      <c r="X4" s="22" t="s">
        <v>859</v>
      </c>
      <c r="Y4" s="22" t="s">
        <v>733</v>
      </c>
      <c r="Z4" s="22" t="s">
        <v>934</v>
      </c>
      <c r="AA4" s="22" t="s">
        <v>935</v>
      </c>
      <c r="AB4" s="22" t="s">
        <v>977</v>
      </c>
      <c r="AC4" s="22">
        <v>2023</v>
      </c>
      <c r="AD4" s="22" t="s">
        <v>1051</v>
      </c>
      <c r="AE4" s="22" t="s">
        <v>1077</v>
      </c>
      <c r="AF4" s="22" t="s">
        <v>1078</v>
      </c>
      <c r="AG4" s="22" t="s">
        <v>1079</v>
      </c>
      <c r="AH4" s="22" t="s">
        <v>1080</v>
      </c>
      <c r="AI4" s="22" t="s">
        <v>1081</v>
      </c>
      <c r="AJ4" s="22">
        <v>2024</v>
      </c>
      <c r="AK4" s="22" t="s">
        <v>1008</v>
      </c>
      <c r="AL4" s="22" t="s">
        <v>1067</v>
      </c>
      <c r="AM4" s="22" t="s">
        <v>1174</v>
      </c>
      <c r="AN4" s="22" t="s">
        <v>1068</v>
      </c>
      <c r="AO4" s="22" t="s">
        <v>1188</v>
      </c>
      <c r="AP4" s="22" t="s">
        <v>1069</v>
      </c>
      <c r="AQ4" s="22">
        <v>2025</v>
      </c>
      <c r="AR4" s="22" t="s">
        <v>1066</v>
      </c>
      <c r="AS4" s="22" t="s">
        <v>1242</v>
      </c>
      <c r="AT4" s="22" t="s">
        <v>1244</v>
      </c>
    </row>
    <row r="5" spans="2:46" ht="6.75" customHeight="1">
      <c r="B5" s="1"/>
      <c r="C5" s="1"/>
      <c r="D5" s="1"/>
      <c r="E5" s="1"/>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row>
    <row r="6" spans="2:46">
      <c r="B6" s="3" t="s">
        <v>822</v>
      </c>
      <c r="C6" s="1"/>
      <c r="D6" s="3" t="s">
        <v>832</v>
      </c>
      <c r="E6" s="1"/>
      <c r="F6" s="13"/>
      <c r="G6" s="13"/>
      <c r="H6" s="13"/>
      <c r="I6" s="74"/>
      <c r="J6" s="74"/>
      <c r="K6" s="74"/>
      <c r="L6" s="74"/>
      <c r="M6" s="74"/>
      <c r="N6" s="74"/>
      <c r="O6" s="74"/>
      <c r="P6" s="74"/>
      <c r="Q6" s="13"/>
      <c r="R6" s="13">
        <v>635161</v>
      </c>
      <c r="S6" s="13">
        <v>699277</v>
      </c>
      <c r="T6" s="13">
        <v>702849</v>
      </c>
      <c r="U6" s="13">
        <v>621677</v>
      </c>
      <c r="V6" s="13">
        <v>2658964</v>
      </c>
      <c r="W6" s="13">
        <v>578678</v>
      </c>
      <c r="X6" s="13">
        <v>594264</v>
      </c>
      <c r="Y6" s="13">
        <v>1172942</v>
      </c>
      <c r="Z6" s="13">
        <v>596705</v>
      </c>
      <c r="AA6" s="13">
        <v>1769647</v>
      </c>
      <c r="AB6" s="13">
        <v>560729</v>
      </c>
      <c r="AC6" s="13">
        <v>2330376</v>
      </c>
      <c r="AD6" s="13">
        <v>570687</v>
      </c>
      <c r="AE6" s="13">
        <v>622591</v>
      </c>
      <c r="AF6" s="13">
        <v>1193278</v>
      </c>
      <c r="AG6" s="13">
        <v>621530</v>
      </c>
      <c r="AH6" s="13">
        <v>1814808</v>
      </c>
      <c r="AI6" s="13">
        <v>625495</v>
      </c>
      <c r="AJ6" s="13">
        <v>2440303</v>
      </c>
      <c r="AK6" s="13">
        <v>614798</v>
      </c>
      <c r="AL6" s="13">
        <v>548665</v>
      </c>
      <c r="AM6" s="13">
        <v>1163463</v>
      </c>
      <c r="AN6" s="13">
        <v>519199.88086000003</v>
      </c>
      <c r="AO6" s="13">
        <v>1682662.8808599999</v>
      </c>
      <c r="AP6" s="13">
        <v>430470.75699999998</v>
      </c>
      <c r="AQ6" s="13">
        <v>2113133</v>
      </c>
      <c r="AR6" s="13">
        <v>487080.65099999995</v>
      </c>
      <c r="AS6" s="13">
        <v>654344</v>
      </c>
      <c r="AT6" s="13">
        <f>AS6+AR6</f>
        <v>1141424.6510000001</v>
      </c>
    </row>
    <row r="7" spans="2:46">
      <c r="B7" s="3" t="s">
        <v>823</v>
      </c>
      <c r="C7" s="1"/>
      <c r="D7" s="3" t="s">
        <v>833</v>
      </c>
      <c r="E7" s="1"/>
      <c r="F7" s="13"/>
      <c r="G7" s="13"/>
      <c r="H7" s="13"/>
      <c r="I7" s="74"/>
      <c r="J7" s="74"/>
      <c r="K7" s="74"/>
      <c r="L7" s="74"/>
      <c r="M7" s="74"/>
      <c r="N7" s="74"/>
      <c r="O7" s="74"/>
      <c r="P7" s="74"/>
      <c r="Q7" s="13"/>
      <c r="R7" s="158">
        <v>326134</v>
      </c>
      <c r="S7" s="158">
        <v>329303</v>
      </c>
      <c r="T7" s="158">
        <v>443029</v>
      </c>
      <c r="U7" s="158">
        <v>449608</v>
      </c>
      <c r="V7" s="158">
        <v>1548074</v>
      </c>
      <c r="W7" s="158">
        <v>382777</v>
      </c>
      <c r="X7" s="158">
        <v>282286</v>
      </c>
      <c r="Y7" s="158">
        <v>665063</v>
      </c>
      <c r="Z7" s="158">
        <v>314195</v>
      </c>
      <c r="AA7" s="158">
        <v>979258</v>
      </c>
      <c r="AB7" s="158">
        <v>273287</v>
      </c>
      <c r="AC7" s="158">
        <v>1252545</v>
      </c>
      <c r="AD7" s="158">
        <v>368683</v>
      </c>
      <c r="AE7" s="158">
        <v>374445</v>
      </c>
      <c r="AF7" s="158">
        <v>743128</v>
      </c>
      <c r="AG7" s="158">
        <v>379143</v>
      </c>
      <c r="AH7" s="158">
        <v>1122271</v>
      </c>
      <c r="AI7" s="158">
        <v>358066</v>
      </c>
      <c r="AJ7" s="158">
        <v>1480337</v>
      </c>
      <c r="AK7" s="158">
        <v>390100</v>
      </c>
      <c r="AL7" s="158">
        <v>397182</v>
      </c>
      <c r="AM7" s="158">
        <v>787282</v>
      </c>
      <c r="AN7" s="158">
        <v>385496</v>
      </c>
      <c r="AO7" s="158">
        <v>1172778</v>
      </c>
      <c r="AP7" s="158">
        <v>381308</v>
      </c>
      <c r="AQ7" s="158">
        <v>1554086</v>
      </c>
      <c r="AR7" s="158">
        <v>343781</v>
      </c>
      <c r="AS7" s="158">
        <v>360964</v>
      </c>
      <c r="AT7" s="158">
        <f t="shared" ref="AT7:AT10" si="1">AS7+AR7</f>
        <v>704745</v>
      </c>
    </row>
    <row r="8" spans="2:46">
      <c r="B8" s="3" t="s">
        <v>824</v>
      </c>
      <c r="C8" s="1"/>
      <c r="D8" s="3" t="s">
        <v>825</v>
      </c>
      <c r="E8" s="1"/>
      <c r="F8" s="13">
        <v>9746</v>
      </c>
      <c r="G8" s="13">
        <v>28020.558000000001</v>
      </c>
      <c r="H8" s="13">
        <v>113907</v>
      </c>
      <c r="I8" s="13">
        <v>78824</v>
      </c>
      <c r="J8" s="13">
        <v>132038.5</v>
      </c>
      <c r="K8" s="13">
        <v>111834.65000000002</v>
      </c>
      <c r="L8" s="13">
        <v>436604.15</v>
      </c>
      <c r="M8" s="13">
        <v>229753</v>
      </c>
      <c r="N8" s="13">
        <v>244527</v>
      </c>
      <c r="O8" s="13">
        <v>283903</v>
      </c>
      <c r="P8" s="13">
        <v>342669.5</v>
      </c>
      <c r="Q8" s="13">
        <v>1109774</v>
      </c>
      <c r="R8" s="13">
        <v>961295</v>
      </c>
      <c r="S8" s="137">
        <v>1028580</v>
      </c>
      <c r="T8" s="137">
        <f>SUM(T6:T7)</f>
        <v>1145878</v>
      </c>
      <c r="U8" s="13">
        <v>1071285</v>
      </c>
      <c r="V8" s="13">
        <f t="shared" ref="V8:AC8" si="2">SUM(V6:V7)</f>
        <v>4207038</v>
      </c>
      <c r="W8" s="13">
        <f t="shared" si="2"/>
        <v>961455</v>
      </c>
      <c r="X8" s="13">
        <f t="shared" si="2"/>
        <v>876550</v>
      </c>
      <c r="Y8" s="13">
        <f t="shared" si="2"/>
        <v>1838005</v>
      </c>
      <c r="Z8" s="13">
        <f>SUM(Z6:Z7)</f>
        <v>910900</v>
      </c>
      <c r="AA8" s="13">
        <f t="shared" si="2"/>
        <v>2748905</v>
      </c>
      <c r="AB8" s="13">
        <f t="shared" si="2"/>
        <v>834016</v>
      </c>
      <c r="AC8" s="13">
        <f t="shared" si="2"/>
        <v>3582921</v>
      </c>
      <c r="AD8" s="13">
        <f>SUM(AD6:AD7)</f>
        <v>939370</v>
      </c>
      <c r="AE8" s="13">
        <v>997036</v>
      </c>
      <c r="AF8" s="13">
        <v>1936406</v>
      </c>
      <c r="AG8" s="13">
        <v>1000673</v>
      </c>
      <c r="AH8" s="13">
        <v>2937079</v>
      </c>
      <c r="AI8" s="13">
        <v>983561</v>
      </c>
      <c r="AJ8" s="13">
        <v>3920640</v>
      </c>
      <c r="AK8" s="13">
        <v>1004898</v>
      </c>
      <c r="AL8" s="13">
        <v>945847</v>
      </c>
      <c r="AM8" s="13">
        <v>1950745</v>
      </c>
      <c r="AN8" s="13">
        <v>904695.88086000003</v>
      </c>
      <c r="AO8" s="13">
        <v>2855440.8808599999</v>
      </c>
      <c r="AP8" s="13">
        <v>811778.75699999998</v>
      </c>
      <c r="AQ8" s="13">
        <v>3667219</v>
      </c>
      <c r="AR8" s="13">
        <v>830862</v>
      </c>
      <c r="AS8" s="13">
        <v>1015308</v>
      </c>
      <c r="AT8" s="13">
        <f t="shared" si="1"/>
        <v>1846170</v>
      </c>
    </row>
    <row r="9" spans="2:46">
      <c r="B9" s="3" t="s">
        <v>1053</v>
      </c>
      <c r="C9" s="1"/>
      <c r="D9" s="3" t="s">
        <v>834</v>
      </c>
      <c r="E9" s="1"/>
      <c r="F9" s="13">
        <v>314296</v>
      </c>
      <c r="G9" s="13">
        <v>329447</v>
      </c>
      <c r="H9" s="13">
        <v>85074</v>
      </c>
      <c r="I9" s="13">
        <v>49265</v>
      </c>
      <c r="J9" s="13">
        <v>56767.5</v>
      </c>
      <c r="K9" s="13">
        <v>91207.5</v>
      </c>
      <c r="L9" s="13">
        <v>282314</v>
      </c>
      <c r="M9" s="13">
        <v>79768</v>
      </c>
      <c r="N9" s="13">
        <v>78341</v>
      </c>
      <c r="O9" s="13">
        <v>92202</v>
      </c>
      <c r="P9" s="13">
        <v>103625.5</v>
      </c>
      <c r="Q9" s="13">
        <v>353937</v>
      </c>
      <c r="R9" s="13">
        <v>0</v>
      </c>
      <c r="S9" s="13">
        <v>0</v>
      </c>
      <c r="T9" s="13">
        <v>0</v>
      </c>
      <c r="U9" s="13">
        <v>0</v>
      </c>
      <c r="V9" s="13">
        <v>0</v>
      </c>
      <c r="W9" s="13">
        <v>0</v>
      </c>
      <c r="X9" s="13">
        <v>0</v>
      </c>
      <c r="Y9" s="13">
        <f>SUM(W9:X9)</f>
        <v>0</v>
      </c>
      <c r="Z9" s="13">
        <f>AA9-Y9</f>
        <v>0</v>
      </c>
      <c r="AA9" s="13">
        <v>0</v>
      </c>
      <c r="AB9" s="13">
        <v>0</v>
      </c>
      <c r="AC9" s="13">
        <v>0</v>
      </c>
      <c r="AD9" s="13">
        <v>1081</v>
      </c>
      <c r="AE9" s="13">
        <v>8677</v>
      </c>
      <c r="AF9" s="13">
        <v>9956</v>
      </c>
      <c r="AG9" s="13">
        <v>28067</v>
      </c>
      <c r="AH9" s="13">
        <v>38023</v>
      </c>
      <c r="AI9" s="13">
        <v>5292</v>
      </c>
      <c r="AJ9" s="13">
        <v>43315</v>
      </c>
      <c r="AK9" s="13">
        <v>430</v>
      </c>
      <c r="AL9" s="13">
        <v>2527</v>
      </c>
      <c r="AM9" s="13">
        <v>2957</v>
      </c>
      <c r="AN9" s="13">
        <v>18478</v>
      </c>
      <c r="AO9" s="13">
        <v>21435</v>
      </c>
      <c r="AP9" s="13">
        <v>20148</v>
      </c>
      <c r="AQ9" s="13">
        <v>41583</v>
      </c>
      <c r="AR9" s="13">
        <v>15967</v>
      </c>
      <c r="AS9" s="13">
        <v>28120</v>
      </c>
      <c r="AT9" s="13">
        <f t="shared" si="1"/>
        <v>44087</v>
      </c>
    </row>
    <row r="10" spans="2:46">
      <c r="B10" s="3" t="s">
        <v>82</v>
      </c>
      <c r="C10" s="1"/>
      <c r="D10" s="3" t="s">
        <v>637</v>
      </c>
      <c r="E10" s="1"/>
      <c r="F10" s="13">
        <v>0</v>
      </c>
      <c r="G10" s="13">
        <v>14569.441999999999</v>
      </c>
      <c r="H10" s="13">
        <v>30334</v>
      </c>
      <c r="I10" s="13">
        <v>78827</v>
      </c>
      <c r="J10" s="13">
        <v>46103</v>
      </c>
      <c r="K10" s="13">
        <v>41730.849999999977</v>
      </c>
      <c r="L10" s="13">
        <v>196994.85</v>
      </c>
      <c r="M10" s="13">
        <v>-4743</v>
      </c>
      <c r="N10" s="13">
        <v>-3540</v>
      </c>
      <c r="O10" s="13">
        <v>-39637</v>
      </c>
      <c r="P10" s="13">
        <v>-69939</v>
      </c>
      <c r="Q10" s="13">
        <v>-126780</v>
      </c>
      <c r="R10" s="13">
        <v>-85230</v>
      </c>
      <c r="S10" s="13">
        <v>-130361</v>
      </c>
      <c r="T10" s="13">
        <v>-127316</v>
      </c>
      <c r="U10" s="13">
        <v>-98724</v>
      </c>
      <c r="V10" s="13">
        <v>-441631</v>
      </c>
      <c r="W10" s="13">
        <v>-71468</v>
      </c>
      <c r="X10" s="13">
        <v>-60286</v>
      </c>
      <c r="Y10" s="13">
        <v>-131754</v>
      </c>
      <c r="Z10" s="13">
        <v>-70610</v>
      </c>
      <c r="AA10" s="13">
        <v>-202364</v>
      </c>
      <c r="AB10" s="13">
        <v>-65845</v>
      </c>
      <c r="AC10" s="13">
        <v>-268209</v>
      </c>
      <c r="AD10" s="13">
        <v>-59170</v>
      </c>
      <c r="AE10" s="13">
        <v>-32073</v>
      </c>
      <c r="AF10" s="13">
        <v>-91243</v>
      </c>
      <c r="AG10" s="13">
        <v>-30735</v>
      </c>
      <c r="AH10" s="13">
        <v>-121978</v>
      </c>
      <c r="AI10" s="13">
        <v>-5234</v>
      </c>
      <c r="AJ10" s="13">
        <v>-127212</v>
      </c>
      <c r="AK10" s="13">
        <v>0</v>
      </c>
      <c r="AL10" s="13">
        <v>0</v>
      </c>
      <c r="AM10" s="13">
        <v>0</v>
      </c>
      <c r="AN10" s="13">
        <v>0</v>
      </c>
      <c r="AO10" s="13">
        <v>0</v>
      </c>
      <c r="AP10" s="13">
        <v>882</v>
      </c>
      <c r="AQ10" s="13">
        <v>882</v>
      </c>
      <c r="AR10" s="13">
        <v>-35235</v>
      </c>
      <c r="AS10" s="13">
        <v>-89286</v>
      </c>
      <c r="AT10" s="13">
        <f t="shared" si="1"/>
        <v>-124521</v>
      </c>
    </row>
    <row r="11" spans="2:46" ht="3.75" customHeight="1" thickBot="1">
      <c r="C11" s="1"/>
      <c r="E11" s="1"/>
      <c r="F11" s="13"/>
      <c r="G11" s="13"/>
      <c r="H11" s="13"/>
      <c r="I11" s="13"/>
      <c r="J11" s="74"/>
      <c r="K11" s="13"/>
      <c r="L11" s="13"/>
      <c r="M11" s="13"/>
      <c r="N11" s="13"/>
      <c r="O11" s="13"/>
      <c r="P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row>
    <row r="12" spans="2:46" ht="13.5" thickBot="1">
      <c r="B12" s="28" t="s">
        <v>83</v>
      </c>
      <c r="C12" s="27"/>
      <c r="D12" s="28" t="s">
        <v>709</v>
      </c>
      <c r="E12" s="27"/>
      <c r="F12" s="40">
        <v>324042</v>
      </c>
      <c r="G12" s="40">
        <v>372037</v>
      </c>
      <c r="H12" s="40">
        <v>229315</v>
      </c>
      <c r="I12" s="40">
        <v>206916</v>
      </c>
      <c r="J12" s="40">
        <v>234909</v>
      </c>
      <c r="K12" s="40">
        <v>244773</v>
      </c>
      <c r="L12" s="40">
        <v>915913</v>
      </c>
      <c r="M12" s="40">
        <v>304778</v>
      </c>
      <c r="N12" s="40">
        <v>319328</v>
      </c>
      <c r="O12" s="40">
        <v>336468</v>
      </c>
      <c r="P12" s="40">
        <v>376356</v>
      </c>
      <c r="Q12" s="40">
        <v>1336931</v>
      </c>
      <c r="R12" s="40">
        <v>876065</v>
      </c>
      <c r="S12" s="40">
        <v>898219</v>
      </c>
      <c r="T12" s="40">
        <f t="shared" ref="T12:Y12" si="3">SUM(T8:T10)</f>
        <v>1018562</v>
      </c>
      <c r="U12" s="40">
        <f>SUM(U8:U10)</f>
        <v>972561</v>
      </c>
      <c r="V12" s="40">
        <f t="shared" si="3"/>
        <v>3765407</v>
      </c>
      <c r="W12" s="40">
        <f t="shared" si="3"/>
        <v>889987</v>
      </c>
      <c r="X12" s="40">
        <f t="shared" si="3"/>
        <v>816264</v>
      </c>
      <c r="Y12" s="40">
        <f t="shared" si="3"/>
        <v>1706251</v>
      </c>
      <c r="Z12" s="40">
        <f t="shared" ref="Z12:AE12" si="4">SUM(Z8:Z10)</f>
        <v>840290</v>
      </c>
      <c r="AA12" s="40">
        <f t="shared" si="4"/>
        <v>2546541</v>
      </c>
      <c r="AB12" s="40">
        <f t="shared" si="4"/>
        <v>768171</v>
      </c>
      <c r="AC12" s="40">
        <f t="shared" si="4"/>
        <v>3314712</v>
      </c>
      <c r="AD12" s="40">
        <f t="shared" si="4"/>
        <v>881281</v>
      </c>
      <c r="AE12" s="40">
        <f t="shared" si="4"/>
        <v>973640</v>
      </c>
      <c r="AF12" s="40">
        <f t="shared" ref="AF12:AJ12" si="5">SUM(AF8:AF10)</f>
        <v>1855119</v>
      </c>
      <c r="AG12" s="40">
        <f t="shared" si="5"/>
        <v>998005</v>
      </c>
      <c r="AH12" s="40">
        <f t="shared" si="5"/>
        <v>2853124</v>
      </c>
      <c r="AI12" s="40">
        <f t="shared" si="5"/>
        <v>983619</v>
      </c>
      <c r="AJ12" s="40">
        <f t="shared" si="5"/>
        <v>3836743</v>
      </c>
      <c r="AK12" s="40">
        <f t="shared" ref="AK12:AL12" si="6">SUM(AK8:AK10)</f>
        <v>1005328</v>
      </c>
      <c r="AL12" s="40">
        <f t="shared" si="6"/>
        <v>948374</v>
      </c>
      <c r="AM12" s="40">
        <f t="shared" ref="AM12:AN12" si="7">SUM(AM8:AM10)</f>
        <v>1953702</v>
      </c>
      <c r="AN12" s="40">
        <f t="shared" si="7"/>
        <v>923173.88086000003</v>
      </c>
      <c r="AO12" s="40">
        <f t="shared" ref="AO12:AP12" si="8">SUM(AO8:AO10)</f>
        <v>2876875.8808599999</v>
      </c>
      <c r="AP12" s="40">
        <f t="shared" si="8"/>
        <v>832808.75699999998</v>
      </c>
      <c r="AQ12" s="40">
        <f t="shared" ref="AQ12" si="9">SUM(AQ8:AQ10)</f>
        <v>3709684</v>
      </c>
      <c r="AR12" s="40">
        <v>811594</v>
      </c>
      <c r="AS12" s="40">
        <f t="shared" ref="AS12:AT12" si="10">SUM(AS8:AS10)</f>
        <v>954142</v>
      </c>
      <c r="AT12" s="40">
        <f t="shared" si="10"/>
        <v>1765736</v>
      </c>
    </row>
    <row r="13" spans="2:46" ht="6" customHeight="1">
      <c r="F13" s="5"/>
      <c r="G13" s="5"/>
      <c r="H13" s="5"/>
      <c r="I13" s="5"/>
      <c r="J13" s="5"/>
      <c r="K13" s="5"/>
      <c r="L13" s="6"/>
      <c r="M13" s="13"/>
      <c r="N13" s="13"/>
      <c r="O13" s="13"/>
      <c r="P13" s="6"/>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row>
    <row r="14" spans="2:46">
      <c r="B14" s="3" t="s">
        <v>828</v>
      </c>
      <c r="D14" s="3" t="s">
        <v>830</v>
      </c>
      <c r="F14" s="5"/>
      <c r="G14" s="5"/>
      <c r="H14" s="5"/>
      <c r="I14" s="5"/>
      <c r="J14" s="5"/>
      <c r="K14" s="5"/>
      <c r="L14" s="6"/>
      <c r="M14" s="13"/>
      <c r="N14" s="13"/>
      <c r="O14" s="13"/>
      <c r="P14" s="6"/>
      <c r="R14" s="13">
        <v>-100040.449344375</v>
      </c>
      <c r="S14" s="13">
        <v>-139519.36046877503</v>
      </c>
      <c r="T14" s="13">
        <v>-124762.657339725</v>
      </c>
      <c r="U14" s="50">
        <f>-109597+2</f>
        <v>-109595</v>
      </c>
      <c r="V14" s="13">
        <v>-473916.77146512503</v>
      </c>
      <c r="W14" s="13">
        <v>-98669.192727000001</v>
      </c>
      <c r="X14" s="13">
        <v>-102389.90430159998</v>
      </c>
      <c r="Y14" s="13">
        <v>-201059.09702859999</v>
      </c>
      <c r="Z14" s="13">
        <v>-25916.541571400012</v>
      </c>
      <c r="AA14" s="13">
        <f>-226975.6386</f>
        <v>-226975.63860000001</v>
      </c>
      <c r="AB14" s="13">
        <v>-22324.72052000009</v>
      </c>
      <c r="AC14" s="13">
        <v>-249300.3591200001</v>
      </c>
      <c r="AD14" s="13">
        <v>-52745.217310000007</v>
      </c>
      <c r="AE14" s="13">
        <v>-57638.598819999992</v>
      </c>
      <c r="AF14" s="13">
        <v>-110383.81612999999</v>
      </c>
      <c r="AG14" s="13">
        <v>-56276.844479999985</v>
      </c>
      <c r="AH14" s="13">
        <v>-166660.66060999996</v>
      </c>
      <c r="AI14" s="13">
        <v>-57826.339390000037</v>
      </c>
      <c r="AJ14" s="13">
        <v>-224487</v>
      </c>
      <c r="AK14" s="13">
        <v>-56364.377899999999</v>
      </c>
      <c r="AL14" s="13">
        <v>-50522.204450000012</v>
      </c>
      <c r="AM14" s="13">
        <v>-106886.58235000001</v>
      </c>
      <c r="AN14" s="13">
        <v>-47688</v>
      </c>
      <c r="AO14" s="13">
        <v>-154574.58235000001</v>
      </c>
      <c r="AP14" s="13">
        <v>-39236.417649999988</v>
      </c>
      <c r="AQ14" s="13">
        <v>-193811</v>
      </c>
      <c r="AR14" s="13">
        <v>-44668</v>
      </c>
      <c r="AS14" s="13">
        <v>-60428</v>
      </c>
      <c r="AT14" s="13">
        <f t="shared" ref="AT14:AT17" si="11">AS14+AR14</f>
        <v>-105096</v>
      </c>
    </row>
    <row r="15" spans="2:46">
      <c r="B15" s="3" t="s">
        <v>829</v>
      </c>
      <c r="D15" s="3" t="s">
        <v>831</v>
      </c>
      <c r="F15" s="5"/>
      <c r="G15" s="5"/>
      <c r="H15" s="5"/>
      <c r="I15" s="5"/>
      <c r="J15" s="5"/>
      <c r="K15" s="5"/>
      <c r="L15" s="6"/>
      <c r="M15" s="13"/>
      <c r="N15" s="13"/>
      <c r="O15" s="13"/>
      <c r="P15" s="6"/>
      <c r="R15" s="9">
        <v>-72548.550655625004</v>
      </c>
      <c r="S15" s="9">
        <v>-67690.639531224966</v>
      </c>
      <c r="T15" s="9">
        <v>-88951.342660274997</v>
      </c>
      <c r="U15" s="234">
        <f>-86358-2</f>
        <v>-86360</v>
      </c>
      <c r="V15" s="9">
        <v>-315551.22853487497</v>
      </c>
      <c r="W15" s="9">
        <v>-72105.807272999999</v>
      </c>
      <c r="X15" s="9">
        <v>-55560.095698400022</v>
      </c>
      <c r="Y15" s="9">
        <v>-127665.90297140002</v>
      </c>
      <c r="Z15" s="9">
        <v>-66544.458428599974</v>
      </c>
      <c r="AA15" s="9">
        <f>AA17-AA14</f>
        <v>-194210.36139999999</v>
      </c>
      <c r="AB15" s="9">
        <v>-56839.993410400057</v>
      </c>
      <c r="AC15" s="9">
        <v>-251050.35481040005</v>
      </c>
      <c r="AD15" s="9">
        <v>-83800.980319999988</v>
      </c>
      <c r="AE15" s="9">
        <v>-88526.554450000011</v>
      </c>
      <c r="AF15" s="9">
        <v>-172327.53477</v>
      </c>
      <c r="AG15" s="9">
        <v>-87539.465230000002</v>
      </c>
      <c r="AH15" s="9">
        <v>-259867</v>
      </c>
      <c r="AI15" s="9">
        <v>-81662</v>
      </c>
      <c r="AJ15" s="9">
        <v>-341529</v>
      </c>
      <c r="AK15" s="9">
        <v>-88150.600350000008</v>
      </c>
      <c r="AL15" s="9">
        <v>-91234.897469999982</v>
      </c>
      <c r="AM15" s="9">
        <v>-179385.49781999999</v>
      </c>
      <c r="AN15" s="9">
        <v>-86837.625719999996</v>
      </c>
      <c r="AO15" s="9">
        <v>-266223.12354</v>
      </c>
      <c r="AP15" s="9">
        <v>-86994.876459999999</v>
      </c>
      <c r="AQ15" s="9">
        <v>-353218</v>
      </c>
      <c r="AR15" s="9">
        <v>-80356</v>
      </c>
      <c r="AS15" s="9">
        <v>-81814</v>
      </c>
      <c r="AT15" s="9">
        <f t="shared" si="11"/>
        <v>-162170</v>
      </c>
    </row>
    <row r="16" spans="2:46">
      <c r="B16" s="3" t="s">
        <v>1125</v>
      </c>
      <c r="D16" s="3" t="s">
        <v>1126</v>
      </c>
      <c r="F16" s="5"/>
      <c r="G16" s="5"/>
      <c r="H16" s="5"/>
      <c r="I16" s="5"/>
      <c r="J16" s="5"/>
      <c r="K16" s="5"/>
      <c r="L16" s="6"/>
      <c r="M16" s="13"/>
      <c r="N16" s="13"/>
      <c r="O16" s="13"/>
      <c r="P16" s="6"/>
      <c r="R16" s="9">
        <v>0</v>
      </c>
      <c r="S16" s="9">
        <v>0</v>
      </c>
      <c r="T16" s="9">
        <v>0</v>
      </c>
      <c r="U16" s="234">
        <v>0</v>
      </c>
      <c r="V16" s="9">
        <v>0</v>
      </c>
      <c r="W16" s="9">
        <v>0</v>
      </c>
      <c r="X16" s="9">
        <v>0</v>
      </c>
      <c r="Y16" s="9">
        <v>0</v>
      </c>
      <c r="Z16" s="9">
        <v>0</v>
      </c>
      <c r="AA16" s="9">
        <v>0</v>
      </c>
      <c r="AB16" s="9">
        <v>0</v>
      </c>
      <c r="AC16" s="9">
        <v>0</v>
      </c>
      <c r="AD16" s="9">
        <v>0</v>
      </c>
      <c r="AE16" s="9">
        <v>-1221.0485100000001</v>
      </c>
      <c r="AF16" s="9">
        <v>-1419.0485100000001</v>
      </c>
      <c r="AG16" s="9">
        <v>-3999.29088</v>
      </c>
      <c r="AH16" s="9">
        <v>-5418.3393900000001</v>
      </c>
      <c r="AI16" s="9">
        <v>-754.66060999999991</v>
      </c>
      <c r="AJ16" s="9">
        <v>-6173</v>
      </c>
      <c r="AK16" s="9">
        <v>-61.236399999999996</v>
      </c>
      <c r="AL16" s="9">
        <v>-313.94213999999999</v>
      </c>
      <c r="AM16" s="9">
        <v>-375.17854</v>
      </c>
      <c r="AN16" s="9">
        <v>-2263.45093</v>
      </c>
      <c r="AO16" s="9">
        <v>-2638.6294699999999</v>
      </c>
      <c r="AP16" s="9">
        <v>-2407.3705300000001</v>
      </c>
      <c r="AQ16" s="9">
        <v>-5046</v>
      </c>
      <c r="AR16" s="9">
        <v>-2114</v>
      </c>
      <c r="AS16" s="9">
        <v>-3957</v>
      </c>
      <c r="AT16" s="9">
        <f t="shared" si="11"/>
        <v>-6071</v>
      </c>
    </row>
    <row r="17" spans="2:46">
      <c r="B17" s="3" t="s">
        <v>84</v>
      </c>
      <c r="C17" s="1"/>
      <c r="D17" s="3" t="s">
        <v>714</v>
      </c>
      <c r="E17" s="1"/>
      <c r="F17" s="13">
        <v>-24374</v>
      </c>
      <c r="G17" s="13">
        <v>-32114</v>
      </c>
      <c r="H17" s="13">
        <v>-33767</v>
      </c>
      <c r="I17" s="13">
        <v>-21428</v>
      </c>
      <c r="J17" s="13">
        <v>-34732</v>
      </c>
      <c r="K17" s="13">
        <v>-38145</v>
      </c>
      <c r="L17" s="13">
        <v>-128072</v>
      </c>
      <c r="M17" s="13">
        <v>-58990</v>
      </c>
      <c r="N17" s="13">
        <v>-70218</v>
      </c>
      <c r="O17" s="13">
        <v>-76125</v>
      </c>
      <c r="P17" s="13">
        <v>-90994</v>
      </c>
      <c r="Q17" s="13">
        <v>-296327</v>
      </c>
      <c r="R17" s="235">
        <v>-172589</v>
      </c>
      <c r="S17" s="235">
        <v>-207210</v>
      </c>
      <c r="T17" s="236">
        <v>-213714</v>
      </c>
      <c r="U17" s="235">
        <v>-195955</v>
      </c>
      <c r="V17" s="235">
        <v>-789468</v>
      </c>
      <c r="W17" s="235">
        <v>-170775</v>
      </c>
      <c r="X17" s="235">
        <f>SUM(X14:X15)</f>
        <v>-157950</v>
      </c>
      <c r="Y17" s="235">
        <f>SUM(Y14:Y15)</f>
        <v>-328725</v>
      </c>
      <c r="Z17" s="235">
        <v>-92461</v>
      </c>
      <c r="AA17" s="235">
        <v>-421186</v>
      </c>
      <c r="AB17" s="235">
        <f>AC17-AA17</f>
        <v>-79165</v>
      </c>
      <c r="AC17" s="235">
        <v>-500351</v>
      </c>
      <c r="AD17" s="235">
        <v>-136744</v>
      </c>
      <c r="AE17" s="235">
        <v>-147386.20178</v>
      </c>
      <c r="AF17" s="235">
        <v>-284130.39940999995</v>
      </c>
      <c r="AG17" s="235">
        <v>-147815.60058999999</v>
      </c>
      <c r="AH17" s="235">
        <v>-431945.99999999994</v>
      </c>
      <c r="AI17" s="235">
        <v>-140243.00000000006</v>
      </c>
      <c r="AJ17" s="235">
        <v>-572189</v>
      </c>
      <c r="AK17" s="235">
        <v>-144576</v>
      </c>
      <c r="AL17" s="235">
        <v>-142072</v>
      </c>
      <c r="AM17" s="235">
        <v>-286648</v>
      </c>
      <c r="AN17" s="235">
        <v>-136789</v>
      </c>
      <c r="AO17" s="235">
        <v>-423437</v>
      </c>
      <c r="AP17" s="235">
        <v>-128638.66463999999</v>
      </c>
      <c r="AQ17" s="235">
        <v>-552075</v>
      </c>
      <c r="AR17" s="235">
        <v>-127138</v>
      </c>
      <c r="AS17" s="408">
        <v>-146199</v>
      </c>
      <c r="AT17" s="235">
        <f t="shared" si="11"/>
        <v>-273337</v>
      </c>
    </row>
    <row r="18" spans="2:46">
      <c r="C18" s="1"/>
      <c r="E18" s="1"/>
      <c r="F18" s="13"/>
      <c r="G18" s="13"/>
      <c r="H18" s="13"/>
      <c r="I18" s="13"/>
      <c r="J18" s="13"/>
      <c r="K18" s="13"/>
      <c r="L18" s="13"/>
      <c r="M18" s="13"/>
      <c r="N18" s="13"/>
      <c r="O18" s="13"/>
      <c r="P18" s="13"/>
      <c r="Q18" s="13"/>
      <c r="R18" s="211"/>
      <c r="S18" s="211"/>
      <c r="T18" s="211"/>
      <c r="U18" s="211"/>
      <c r="V18" s="211"/>
      <c r="W18" s="211"/>
      <c r="X18" s="211"/>
      <c r="Y18" s="211"/>
      <c r="Z18" s="211"/>
      <c r="AA18" s="211"/>
      <c r="AB18" s="211"/>
      <c r="AC18" s="211"/>
      <c r="AD18" s="211"/>
      <c r="AE18" s="211"/>
      <c r="AF18" s="211"/>
      <c r="AG18" s="211"/>
      <c r="AH18" s="211"/>
      <c r="AI18" s="211"/>
      <c r="AJ18" s="211"/>
      <c r="AK18" s="211"/>
      <c r="AL18" s="211"/>
      <c r="AM18" s="211"/>
      <c r="AN18" s="211"/>
      <c r="AO18" s="211"/>
      <c r="AP18" s="211"/>
      <c r="AQ18" s="211"/>
      <c r="AR18" s="211"/>
      <c r="AS18" s="211"/>
      <c r="AT18" s="211"/>
    </row>
    <row r="19" spans="2:46">
      <c r="B19" s="3" t="s">
        <v>826</v>
      </c>
      <c r="C19" s="1"/>
      <c r="D19" s="3" t="s">
        <v>835</v>
      </c>
      <c r="E19" s="1"/>
      <c r="F19" s="13"/>
      <c r="G19" s="13"/>
      <c r="H19" s="13"/>
      <c r="I19" s="13"/>
      <c r="J19" s="13"/>
      <c r="K19" s="13"/>
      <c r="L19" s="13"/>
      <c r="M19" s="13"/>
      <c r="N19" s="13"/>
      <c r="O19" s="13"/>
      <c r="P19" s="13"/>
      <c r="Q19" s="13"/>
      <c r="R19" s="13">
        <f t="shared" ref="R19:X19" si="12">R6+R10+R14</f>
        <v>449890.550655625</v>
      </c>
      <c r="S19" s="13">
        <f t="shared" si="12"/>
        <v>429396.63953122497</v>
      </c>
      <c r="T19" s="13">
        <f t="shared" si="12"/>
        <v>450770.342660275</v>
      </c>
      <c r="U19" s="13">
        <f t="shared" si="12"/>
        <v>413358</v>
      </c>
      <c r="V19" s="13">
        <f t="shared" si="12"/>
        <v>1743416.228534875</v>
      </c>
      <c r="W19" s="13">
        <f t="shared" si="12"/>
        <v>408540.80727300001</v>
      </c>
      <c r="X19" s="13">
        <f t="shared" si="12"/>
        <v>431588.09569840005</v>
      </c>
      <c r="Y19" s="13">
        <v>840128.90297139995</v>
      </c>
      <c r="Z19" s="13">
        <f>Z6+Z14+Z10</f>
        <v>500178.45842859999</v>
      </c>
      <c r="AA19" s="13">
        <f>AA6+AA14+AA10</f>
        <v>1340307.3614000001</v>
      </c>
      <c r="AB19" s="13">
        <f>AB6+AB14+AB10</f>
        <v>472559.27947999991</v>
      </c>
      <c r="AC19" s="13">
        <f>AC6+AC14+AC10</f>
        <v>1812866.6408799998</v>
      </c>
      <c r="AD19" s="13">
        <f>AD6+AD10+AD14</f>
        <v>458771.78269000002</v>
      </c>
      <c r="AE19" s="13">
        <v>532879.40118000004</v>
      </c>
      <c r="AF19" s="13">
        <v>991651.18387000007</v>
      </c>
      <c r="AG19" s="13">
        <v>534518.15552000003</v>
      </c>
      <c r="AH19" s="13">
        <v>1526169.3393900001</v>
      </c>
      <c r="AI19" s="13">
        <v>562434.6606099999</v>
      </c>
      <c r="AJ19" s="13">
        <f t="shared" ref="AJ19:AQ19" si="13">AJ6+AJ14+AJ10</f>
        <v>2088604</v>
      </c>
      <c r="AK19" s="13">
        <f t="shared" si="13"/>
        <v>558433.62210000004</v>
      </c>
      <c r="AL19" s="13">
        <f t="shared" si="13"/>
        <v>498142.79554999998</v>
      </c>
      <c r="AM19" s="13">
        <f t="shared" si="13"/>
        <v>1056576.41765</v>
      </c>
      <c r="AN19" s="13">
        <f t="shared" si="13"/>
        <v>471511.88086000003</v>
      </c>
      <c r="AO19" s="13">
        <f t="shared" si="13"/>
        <v>1528088.2985099999</v>
      </c>
      <c r="AP19" s="13">
        <f t="shared" si="13"/>
        <v>392116.33935000002</v>
      </c>
      <c r="AQ19" s="13">
        <f t="shared" si="13"/>
        <v>1920204</v>
      </c>
      <c r="AR19" s="13">
        <v>407177.65099999995</v>
      </c>
      <c r="AS19" s="13">
        <f t="shared" ref="AS19" si="14">AS6+AS14+AS10</f>
        <v>504630</v>
      </c>
      <c r="AT19" s="13">
        <f t="shared" ref="AT19:AT21" si="15">AS19+AR19</f>
        <v>911807.65099999995</v>
      </c>
    </row>
    <row r="20" spans="2:46">
      <c r="B20" s="3" t="s">
        <v>827</v>
      </c>
      <c r="C20" s="1"/>
      <c r="D20" s="3" t="s">
        <v>836</v>
      </c>
      <c r="E20" s="1"/>
      <c r="F20" s="13"/>
      <c r="G20" s="13"/>
      <c r="H20" s="13"/>
      <c r="I20" s="13"/>
      <c r="J20" s="13"/>
      <c r="K20" s="13"/>
      <c r="L20" s="13"/>
      <c r="M20" s="13"/>
      <c r="N20" s="13"/>
      <c r="O20" s="13"/>
      <c r="P20" s="13"/>
      <c r="Q20" s="13"/>
      <c r="R20" s="13">
        <f t="shared" ref="R20:X20" si="16">R7+R15</f>
        <v>253585.449344375</v>
      </c>
      <c r="S20" s="13">
        <f t="shared" si="16"/>
        <v>261612.36046877503</v>
      </c>
      <c r="T20" s="13">
        <f t="shared" si="16"/>
        <v>354077.657339725</v>
      </c>
      <c r="U20" s="13">
        <f t="shared" si="16"/>
        <v>363248</v>
      </c>
      <c r="V20" s="13">
        <f t="shared" si="16"/>
        <v>1232522.771465125</v>
      </c>
      <c r="W20" s="13">
        <f t="shared" si="16"/>
        <v>310671.19272699999</v>
      </c>
      <c r="X20" s="13">
        <f t="shared" si="16"/>
        <v>226725.90430159998</v>
      </c>
      <c r="Y20" s="13">
        <v>537397.09702859994</v>
      </c>
      <c r="Z20" s="13">
        <f>Z7+Z15</f>
        <v>247650.54157140001</v>
      </c>
      <c r="AA20" s="13">
        <f>AA7+AA15</f>
        <v>785047.63859999995</v>
      </c>
      <c r="AB20" s="13">
        <f>AB7+AB15</f>
        <v>216447.00658959994</v>
      </c>
      <c r="AC20" s="13">
        <f>AC7+AC15</f>
        <v>1001494.6451895999</v>
      </c>
      <c r="AD20" s="13">
        <f>AD7+AD15</f>
        <v>284882.01968000003</v>
      </c>
      <c r="AE20" s="13">
        <v>285918.44555</v>
      </c>
      <c r="AF20" s="13">
        <v>570800.46522999997</v>
      </c>
      <c r="AG20" s="13">
        <v>291603.53477000003</v>
      </c>
      <c r="AH20" s="13">
        <v>862404</v>
      </c>
      <c r="AI20" s="13">
        <v>276404</v>
      </c>
      <c r="AJ20" s="13">
        <v>1138808</v>
      </c>
      <c r="AK20" s="13">
        <v>301949.39964999998</v>
      </c>
      <c r="AL20" s="13">
        <v>305947.10253000003</v>
      </c>
      <c r="AM20" s="13">
        <v>607896.50218000007</v>
      </c>
      <c r="AN20" s="13">
        <v>298658.37427999999</v>
      </c>
      <c r="AO20" s="13">
        <v>906554.87645999994</v>
      </c>
      <c r="AP20" s="13">
        <v>294313.12354</v>
      </c>
      <c r="AQ20" s="13">
        <v>1200868</v>
      </c>
      <c r="AR20" s="13">
        <v>263425</v>
      </c>
      <c r="AS20" s="13">
        <v>279150</v>
      </c>
      <c r="AT20" s="13">
        <f t="shared" si="15"/>
        <v>542575</v>
      </c>
    </row>
    <row r="21" spans="2:46" ht="13.5" thickBot="1">
      <c r="B21" s="3" t="s">
        <v>1054</v>
      </c>
      <c r="C21" s="1"/>
      <c r="E21" s="1"/>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f>AD9+AD16</f>
        <v>1081</v>
      </c>
      <c r="AE21" s="13">
        <v>7455.9514899999995</v>
      </c>
      <c r="AF21" s="13">
        <v>8536.9514899999995</v>
      </c>
      <c r="AG21" s="13">
        <v>24067.70912</v>
      </c>
      <c r="AH21" s="13">
        <v>32604.660609999999</v>
      </c>
      <c r="AI21" s="13">
        <v>4537.339390000001</v>
      </c>
      <c r="AJ21" s="13">
        <v>37142</v>
      </c>
      <c r="AK21" s="13">
        <v>368.7636</v>
      </c>
      <c r="AL21" s="13">
        <v>2213.0578599999999</v>
      </c>
      <c r="AM21" s="13">
        <v>2581.8214600000001</v>
      </c>
      <c r="AN21" s="13">
        <v>16214.549070000001</v>
      </c>
      <c r="AO21" s="13">
        <v>18796.37053</v>
      </c>
      <c r="AP21" s="13">
        <v>17740.62947</v>
      </c>
      <c r="AQ21" s="13">
        <v>36537</v>
      </c>
      <c r="AR21" s="13">
        <v>13853</v>
      </c>
      <c r="AS21" s="13">
        <v>24163</v>
      </c>
      <c r="AT21" s="13">
        <f t="shared" si="15"/>
        <v>38016</v>
      </c>
    </row>
    <row r="22" spans="2:46" ht="13.5" thickBot="1">
      <c r="B22" s="28" t="s">
        <v>91</v>
      </c>
      <c r="C22" s="27"/>
      <c r="D22" s="28" t="s">
        <v>618</v>
      </c>
      <c r="E22" s="27"/>
      <c r="F22" s="40">
        <v>299668</v>
      </c>
      <c r="G22" s="40">
        <v>339923</v>
      </c>
      <c r="H22" s="40">
        <v>195548</v>
      </c>
      <c r="I22" s="40">
        <v>185488</v>
      </c>
      <c r="J22" s="40">
        <v>200177</v>
      </c>
      <c r="K22" s="40">
        <v>206628</v>
      </c>
      <c r="L22" s="40">
        <v>787841</v>
      </c>
      <c r="M22" s="40">
        <v>245788</v>
      </c>
      <c r="N22" s="40">
        <v>249110</v>
      </c>
      <c r="O22" s="40">
        <v>260344</v>
      </c>
      <c r="P22" s="40">
        <v>285362</v>
      </c>
      <c r="Q22" s="40">
        <v>1040604</v>
      </c>
      <c r="R22" s="40">
        <v>703476</v>
      </c>
      <c r="S22" s="40">
        <v>691009</v>
      </c>
      <c r="T22" s="40">
        <v>804848</v>
      </c>
      <c r="U22" s="40">
        <v>776606</v>
      </c>
      <c r="V22" s="40">
        <v>2975939</v>
      </c>
      <c r="W22" s="40">
        <f t="shared" ref="W22:AC22" si="17">W12+W17</f>
        <v>719212</v>
      </c>
      <c r="X22" s="40">
        <f t="shared" si="17"/>
        <v>658314</v>
      </c>
      <c r="Y22" s="40">
        <f t="shared" si="17"/>
        <v>1377526</v>
      </c>
      <c r="Z22" s="40">
        <f t="shared" si="17"/>
        <v>747829</v>
      </c>
      <c r="AA22" s="40">
        <f t="shared" si="17"/>
        <v>2125355</v>
      </c>
      <c r="AB22" s="40">
        <f t="shared" si="17"/>
        <v>689006</v>
      </c>
      <c r="AC22" s="40">
        <f t="shared" si="17"/>
        <v>2814361</v>
      </c>
      <c r="AD22" s="40">
        <f>SUM(AD19:AD21)</f>
        <v>744734.80237000005</v>
      </c>
      <c r="AE22" s="40">
        <f>SUM(AE19:AE21)</f>
        <v>826253.79822000011</v>
      </c>
      <c r="AF22" s="40">
        <f t="shared" ref="AF22:AJ22" si="18">SUM(AF19:AF21)</f>
        <v>1570988.6005899999</v>
      </c>
      <c r="AG22" s="40">
        <f t="shared" si="18"/>
        <v>850189.39941000007</v>
      </c>
      <c r="AH22" s="40">
        <f t="shared" si="18"/>
        <v>2421178.0000000005</v>
      </c>
      <c r="AI22" s="40">
        <f t="shared" si="18"/>
        <v>843375.99999999988</v>
      </c>
      <c r="AJ22" s="40">
        <f t="shared" si="18"/>
        <v>3264554</v>
      </c>
      <c r="AK22" s="40">
        <f t="shared" ref="AK22:AL22" si="19">SUM(AK19:AK21)</f>
        <v>860751.78535000002</v>
      </c>
      <c r="AL22" s="40">
        <f t="shared" si="19"/>
        <v>806302.9559399999</v>
      </c>
      <c r="AM22" s="40">
        <f t="shared" ref="AM22:AN22" si="20">SUM(AM19:AM21)</f>
        <v>1667054.74129</v>
      </c>
      <c r="AN22" s="40">
        <f t="shared" si="20"/>
        <v>786384.80420999997</v>
      </c>
      <c r="AO22" s="40">
        <f t="shared" ref="AO22" si="21">SUM(AO19:AO21)</f>
        <v>2453439.5455</v>
      </c>
      <c r="AP22" s="40">
        <f>AP17+AP12</f>
        <v>704170.09236000001</v>
      </c>
      <c r="AQ22" s="40">
        <f>AQ17+AQ12</f>
        <v>3157609</v>
      </c>
      <c r="AR22" s="40">
        <v>684456</v>
      </c>
      <c r="AS22" s="40">
        <f>AS17+AS12</f>
        <v>807943</v>
      </c>
      <c r="AT22" s="40">
        <f>AT17+AT12</f>
        <v>1492399</v>
      </c>
    </row>
    <row r="23" spans="2:46">
      <c r="F23" s="5"/>
      <c r="G23" s="5"/>
      <c r="H23" s="5"/>
      <c r="I23" s="5"/>
      <c r="J23" s="5"/>
      <c r="K23" s="5"/>
      <c r="L23" s="5"/>
      <c r="M23" s="5"/>
      <c r="N23" s="5"/>
      <c r="O23" s="5"/>
      <c r="P23" s="5"/>
      <c r="Q23" s="5"/>
      <c r="R23" s="5"/>
      <c r="S23" s="5"/>
      <c r="T23" s="5"/>
      <c r="U23" s="223"/>
      <c r="V23" s="223"/>
      <c r="W23" s="5"/>
      <c r="X23" s="5"/>
      <c r="Y23" s="5"/>
      <c r="Z23" s="5"/>
      <c r="AA23" s="5"/>
      <c r="AB23" s="5"/>
      <c r="AC23" s="223"/>
      <c r="AD23" s="5"/>
      <c r="AE23" s="5"/>
      <c r="AF23" s="5"/>
      <c r="AG23" s="5"/>
      <c r="AH23" s="5"/>
      <c r="AI23" s="5"/>
      <c r="AJ23" s="5"/>
      <c r="AK23" s="5"/>
      <c r="AL23" s="5"/>
      <c r="AM23" s="5"/>
      <c r="AN23" s="5"/>
      <c r="AO23" s="5"/>
      <c r="AP23" s="5"/>
      <c r="AQ23" s="5"/>
      <c r="AR23" s="5"/>
      <c r="AS23" s="5"/>
      <c r="AT23" s="5"/>
    </row>
    <row r="24" spans="2:46">
      <c r="B24" s="7" t="s">
        <v>87</v>
      </c>
      <c r="C24" s="1"/>
      <c r="D24" s="7" t="s">
        <v>638</v>
      </c>
      <c r="E24" s="1"/>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row>
    <row r="25" spans="2:46">
      <c r="B25" s="3" t="s">
        <v>85</v>
      </c>
      <c r="C25" s="1"/>
      <c r="D25" s="3" t="s">
        <v>643</v>
      </c>
      <c r="E25" s="1"/>
      <c r="F25" s="13">
        <v>-44940</v>
      </c>
      <c r="G25" s="13">
        <v>-55201</v>
      </c>
      <c r="H25" s="13">
        <v>-21692</v>
      </c>
      <c r="I25" s="13">
        <v>-18386</v>
      </c>
      <c r="J25" s="13">
        <v>-18260</v>
      </c>
      <c r="K25" s="13">
        <v>-23799</v>
      </c>
      <c r="L25" s="13">
        <v>-82137</v>
      </c>
      <c r="M25" s="13">
        <v>-25614</v>
      </c>
      <c r="N25" s="13">
        <v>-30937</v>
      </c>
      <c r="O25" s="13">
        <v>-29444</v>
      </c>
      <c r="P25" s="13">
        <v>-42273</v>
      </c>
      <c r="Q25" s="13">
        <v>-128268</v>
      </c>
      <c r="R25" s="13">
        <v>-48037</v>
      </c>
      <c r="S25" s="13">
        <v>-54872</v>
      </c>
      <c r="T25" s="13">
        <v>-62667</v>
      </c>
      <c r="U25" s="13">
        <v>-62448</v>
      </c>
      <c r="V25" s="13">
        <v>-228024</v>
      </c>
      <c r="W25" s="13">
        <v>-65988</v>
      </c>
      <c r="X25" s="13">
        <v>-66633</v>
      </c>
      <c r="Y25" s="13">
        <v>-132621</v>
      </c>
      <c r="Z25" s="13">
        <v>-62901</v>
      </c>
      <c r="AA25" s="13">
        <v>-195522</v>
      </c>
      <c r="AB25" s="13">
        <v>-79753</v>
      </c>
      <c r="AC25" s="13">
        <v>-275275</v>
      </c>
      <c r="AD25" s="50">
        <v>-58408</v>
      </c>
      <c r="AE25" s="50">
        <v>-72003</v>
      </c>
      <c r="AF25" s="50">
        <v>-130411</v>
      </c>
      <c r="AG25" s="50">
        <v>-74291</v>
      </c>
      <c r="AH25" s="50">
        <v>-204702</v>
      </c>
      <c r="AI25" s="50">
        <v>-69569</v>
      </c>
      <c r="AJ25" s="50">
        <v>-274271</v>
      </c>
      <c r="AK25" s="50">
        <v>-66957</v>
      </c>
      <c r="AL25" s="50">
        <v>-74794</v>
      </c>
      <c r="AM25" s="50">
        <v>-141751</v>
      </c>
      <c r="AN25" s="50">
        <v>-76082</v>
      </c>
      <c r="AO25" s="50">
        <v>-217833</v>
      </c>
      <c r="AP25" s="50">
        <v>-66169</v>
      </c>
      <c r="AQ25" s="50">
        <v>-284002</v>
      </c>
      <c r="AR25" s="50">
        <v>-77736</v>
      </c>
      <c r="AS25" s="50">
        <v>-72554</v>
      </c>
      <c r="AT25" s="50">
        <f t="shared" ref="AT25:AT35" si="22">AS25+AR25</f>
        <v>-150290</v>
      </c>
    </row>
    <row r="26" spans="2:46">
      <c r="B26" s="3" t="s">
        <v>814</v>
      </c>
      <c r="C26" s="1"/>
      <c r="D26" s="3" t="s">
        <v>815</v>
      </c>
      <c r="E26" s="1"/>
      <c r="F26" s="13">
        <v>-62157</v>
      </c>
      <c r="G26" s="13">
        <v>-80718</v>
      </c>
      <c r="H26" s="13">
        <v>-31095</v>
      </c>
      <c r="I26" s="13">
        <v>-21629</v>
      </c>
      <c r="J26" s="13">
        <v>-26794</v>
      </c>
      <c r="K26" s="13">
        <v>-36449</v>
      </c>
      <c r="L26" s="13">
        <v>-115967</v>
      </c>
      <c r="M26" s="13">
        <v>-37317</v>
      </c>
      <c r="N26" s="13">
        <v>-35193</v>
      </c>
      <c r="O26" s="13">
        <v>-45093</v>
      </c>
      <c r="P26" s="13">
        <v>-44229</v>
      </c>
      <c r="Q26" s="13">
        <v>-161832</v>
      </c>
      <c r="R26" s="13">
        <v>-59955</v>
      </c>
      <c r="S26" s="13">
        <v>-65115</v>
      </c>
      <c r="T26" s="13">
        <v>-60543</v>
      </c>
      <c r="U26" s="13">
        <v>-69012</v>
      </c>
      <c r="V26" s="13">
        <v>-254625</v>
      </c>
      <c r="W26" s="13">
        <v>-94436</v>
      </c>
      <c r="X26" s="13">
        <v>-99298</v>
      </c>
      <c r="Y26" s="13">
        <v>-193734</v>
      </c>
      <c r="Z26" s="13">
        <v>-82691</v>
      </c>
      <c r="AA26" s="13">
        <v>-276425</v>
      </c>
      <c r="AB26" s="13">
        <v>-119485</v>
      </c>
      <c r="AC26" s="13">
        <v>-395910</v>
      </c>
      <c r="AD26" s="50">
        <v>-108629</v>
      </c>
      <c r="AE26" s="50">
        <v>-117957</v>
      </c>
      <c r="AF26" s="50">
        <v>-226586</v>
      </c>
      <c r="AG26" s="50">
        <v>-151932</v>
      </c>
      <c r="AH26" s="50">
        <v>-378518</v>
      </c>
      <c r="AI26" s="50">
        <v>-175324</v>
      </c>
      <c r="AJ26" s="50">
        <v>-553842</v>
      </c>
      <c r="AK26" s="50">
        <v>-156264</v>
      </c>
      <c r="AL26" s="50">
        <v>-167706</v>
      </c>
      <c r="AM26" s="50">
        <v>-323970</v>
      </c>
      <c r="AN26" s="50">
        <v>-201486</v>
      </c>
      <c r="AO26" s="50">
        <v>-525456</v>
      </c>
      <c r="AP26" s="50">
        <v>-195297</v>
      </c>
      <c r="AQ26" s="50">
        <v>-720753</v>
      </c>
      <c r="AR26" s="50">
        <v>-157122</v>
      </c>
      <c r="AS26" s="50">
        <v>-160701</v>
      </c>
      <c r="AT26" s="50">
        <f t="shared" si="22"/>
        <v>-317823</v>
      </c>
    </row>
    <row r="27" spans="2:46">
      <c r="B27" s="3" t="s">
        <v>90</v>
      </c>
      <c r="C27" s="1"/>
      <c r="D27" s="3" t="s">
        <v>639</v>
      </c>
      <c r="E27" s="1"/>
      <c r="F27" s="13">
        <v>-30966</v>
      </c>
      <c r="G27" s="13">
        <v>-38618</v>
      </c>
      <c r="H27" s="13">
        <v>-13995</v>
      </c>
      <c r="I27" s="13">
        <v>-10402</v>
      </c>
      <c r="J27" s="13">
        <v>-10098</v>
      </c>
      <c r="K27" s="13">
        <v>-11337</v>
      </c>
      <c r="L27" s="13">
        <v>-45832</v>
      </c>
      <c r="M27" s="13">
        <v>-12195</v>
      </c>
      <c r="N27" s="13">
        <v>-12689</v>
      </c>
      <c r="O27" s="13">
        <v>-14188</v>
      </c>
      <c r="P27" s="13">
        <v>-17796</v>
      </c>
      <c r="Q27" s="13">
        <v>-56868</v>
      </c>
      <c r="R27" s="13">
        <v>-19048</v>
      </c>
      <c r="S27" s="13">
        <v>-15963</v>
      </c>
      <c r="T27" s="13">
        <v>-19014</v>
      </c>
      <c r="U27" s="13">
        <v>-19852</v>
      </c>
      <c r="V27" s="13">
        <v>-73877</v>
      </c>
      <c r="W27" s="13">
        <v>-19133</v>
      </c>
      <c r="X27" s="13">
        <v>-20081</v>
      </c>
      <c r="Y27" s="13">
        <v>-39214</v>
      </c>
      <c r="Z27" s="13">
        <v>-21087</v>
      </c>
      <c r="AA27" s="13">
        <v>-60301</v>
      </c>
      <c r="AB27" s="13">
        <v>-16929</v>
      </c>
      <c r="AC27" s="13">
        <v>-77230</v>
      </c>
      <c r="AD27" s="50">
        <v>-18296</v>
      </c>
      <c r="AE27" s="50">
        <v>-17160</v>
      </c>
      <c r="AF27" s="50">
        <v>-35456</v>
      </c>
      <c r="AG27" s="50">
        <v>-18441</v>
      </c>
      <c r="AH27" s="50">
        <v>-53897</v>
      </c>
      <c r="AI27" s="50">
        <v>-18196</v>
      </c>
      <c r="AJ27" s="50">
        <v>-72093</v>
      </c>
      <c r="AK27" s="50">
        <v>-17416</v>
      </c>
      <c r="AL27" s="50">
        <v>-19716</v>
      </c>
      <c r="AM27" s="50">
        <v>-37132</v>
      </c>
      <c r="AN27" s="50">
        <v>-17274</v>
      </c>
      <c r="AO27" s="50">
        <v>-54406</v>
      </c>
      <c r="AP27" s="50">
        <v>-17386</v>
      </c>
      <c r="AQ27" s="50">
        <v>-71792</v>
      </c>
      <c r="AR27" s="50">
        <v>-18531</v>
      </c>
      <c r="AS27" s="50">
        <v>-18239</v>
      </c>
      <c r="AT27" s="50">
        <f t="shared" si="22"/>
        <v>-36770</v>
      </c>
    </row>
    <row r="28" spans="2:46">
      <c r="B28" s="106" t="s">
        <v>945</v>
      </c>
      <c r="C28" s="1"/>
      <c r="D28" s="3" t="s">
        <v>946</v>
      </c>
      <c r="E28" s="1"/>
      <c r="F28" s="13">
        <v>0</v>
      </c>
      <c r="G28" s="13">
        <v>0</v>
      </c>
      <c r="H28" s="13">
        <v>0</v>
      </c>
      <c r="I28" s="13">
        <v>0</v>
      </c>
      <c r="J28" s="13">
        <v>0</v>
      </c>
      <c r="K28" s="13">
        <v>0</v>
      </c>
      <c r="L28" s="13">
        <v>0</v>
      </c>
      <c r="M28" s="13">
        <v>0</v>
      </c>
      <c r="N28" s="13">
        <v>0</v>
      </c>
      <c r="O28" s="13">
        <v>0</v>
      </c>
      <c r="P28" s="13">
        <v>0</v>
      </c>
      <c r="Q28" s="13">
        <v>0</v>
      </c>
      <c r="R28" s="13">
        <v>0</v>
      </c>
      <c r="S28" s="13">
        <v>0</v>
      </c>
      <c r="T28" s="13">
        <v>0</v>
      </c>
      <c r="U28" s="13">
        <v>0</v>
      </c>
      <c r="V28" s="13">
        <v>0</v>
      </c>
      <c r="W28" s="13">
        <v>0</v>
      </c>
      <c r="X28" s="13">
        <v>0</v>
      </c>
      <c r="Y28" s="13">
        <v>0</v>
      </c>
      <c r="Z28" s="13">
        <v>-8856</v>
      </c>
      <c r="AA28" s="13">
        <v>-8856</v>
      </c>
      <c r="AB28" s="13">
        <v>-31639</v>
      </c>
      <c r="AC28" s="13">
        <v>-40495</v>
      </c>
      <c r="AD28" s="50">
        <v>-892</v>
      </c>
      <c r="AE28" s="50">
        <v>0</v>
      </c>
      <c r="AF28" s="50">
        <v>-892</v>
      </c>
      <c r="AG28" s="50">
        <v>-3048</v>
      </c>
      <c r="AH28" s="50">
        <v>-3940</v>
      </c>
      <c r="AI28" s="50">
        <v>0</v>
      </c>
      <c r="AJ28" s="50">
        <v>-3940</v>
      </c>
      <c r="AK28" s="50">
        <v>0</v>
      </c>
      <c r="AL28" s="50">
        <v>0</v>
      </c>
      <c r="AM28" s="50">
        <v>0</v>
      </c>
      <c r="AN28" s="50">
        <v>0</v>
      </c>
      <c r="AO28" s="50">
        <v>0</v>
      </c>
      <c r="AP28" s="50">
        <v>0</v>
      </c>
      <c r="AQ28" s="50">
        <v>0</v>
      </c>
      <c r="AR28" s="50">
        <v>0</v>
      </c>
      <c r="AS28" s="50">
        <v>0</v>
      </c>
      <c r="AT28" s="50">
        <f t="shared" si="22"/>
        <v>0</v>
      </c>
    </row>
    <row r="29" spans="2:46">
      <c r="B29" s="3" t="s">
        <v>86</v>
      </c>
      <c r="C29" s="1"/>
      <c r="D29" s="3" t="s">
        <v>641</v>
      </c>
      <c r="E29" s="1"/>
      <c r="F29" s="13">
        <v>-8755</v>
      </c>
      <c r="G29" s="13">
        <v>-6327</v>
      </c>
      <c r="H29" s="13">
        <v>-12547</v>
      </c>
      <c r="I29" s="13">
        <v>-8224</v>
      </c>
      <c r="J29" s="13">
        <v>-12591</v>
      </c>
      <c r="K29" s="13">
        <v>10728</v>
      </c>
      <c r="L29" s="13">
        <v>-22634</v>
      </c>
      <c r="M29" s="13">
        <v>-18451</v>
      </c>
      <c r="N29" s="13">
        <v>-14753</v>
      </c>
      <c r="O29" s="13">
        <v>-9371</v>
      </c>
      <c r="P29" s="13">
        <v>-12274</v>
      </c>
      <c r="Q29" s="13">
        <v>-54850</v>
      </c>
      <c r="R29" s="13">
        <v>-9960</v>
      </c>
      <c r="S29" s="13">
        <v>-16066</v>
      </c>
      <c r="T29" s="13">
        <v>-18130</v>
      </c>
      <c r="U29" s="13">
        <v>-8338</v>
      </c>
      <c r="V29" s="13">
        <v>-52494</v>
      </c>
      <c r="W29" s="13">
        <v>-13112</v>
      </c>
      <c r="X29" s="13">
        <v>16856</v>
      </c>
      <c r="Y29" s="13">
        <v>3744</v>
      </c>
      <c r="Z29" s="13">
        <v>-11341</v>
      </c>
      <c r="AA29" s="13">
        <v>-7597</v>
      </c>
      <c r="AB29" s="13">
        <v>-28486</v>
      </c>
      <c r="AC29" s="13">
        <v>-36083</v>
      </c>
      <c r="AD29" s="13">
        <v>-41708.802370000049</v>
      </c>
      <c r="AE29" s="13">
        <v>-12455</v>
      </c>
      <c r="AF29" s="13">
        <v>-54163.802370000049</v>
      </c>
      <c r="AG29" s="13">
        <v>-2139</v>
      </c>
      <c r="AH29" s="13">
        <v>-56302.802370000049</v>
      </c>
      <c r="AI29" s="13">
        <v>-17617.197629999951</v>
      </c>
      <c r="AJ29" s="13">
        <v>-73920</v>
      </c>
      <c r="AK29" s="13">
        <v>-12786</v>
      </c>
      <c r="AL29" s="13">
        <v>-7148</v>
      </c>
      <c r="AM29" s="13">
        <v>-19934</v>
      </c>
      <c r="AN29" s="13">
        <v>8511</v>
      </c>
      <c r="AO29" s="13">
        <v>-11423</v>
      </c>
      <c r="AP29" s="13">
        <v>993</v>
      </c>
      <c r="AQ29" s="13">
        <v>-10430</v>
      </c>
      <c r="AR29" s="13">
        <v>-1670</v>
      </c>
      <c r="AS29" s="13">
        <v>-8299</v>
      </c>
      <c r="AT29" s="13">
        <f t="shared" si="22"/>
        <v>-9969</v>
      </c>
    </row>
    <row r="30" spans="2:46">
      <c r="B30" s="106" t="s">
        <v>944</v>
      </c>
      <c r="C30" s="1"/>
      <c r="D30" s="3" t="s">
        <v>855</v>
      </c>
      <c r="E30" s="1"/>
      <c r="F30" s="13">
        <v>0</v>
      </c>
      <c r="G30" s="13">
        <v>0</v>
      </c>
      <c r="H30" s="13">
        <v>0</v>
      </c>
      <c r="I30" s="13">
        <v>0</v>
      </c>
      <c r="J30" s="13">
        <v>0</v>
      </c>
      <c r="K30" s="13">
        <v>0</v>
      </c>
      <c r="L30" s="13">
        <v>0</v>
      </c>
      <c r="M30" s="13">
        <v>0</v>
      </c>
      <c r="N30" s="13">
        <v>0</v>
      </c>
      <c r="O30" s="13">
        <v>0</v>
      </c>
      <c r="P30" s="13">
        <v>0</v>
      </c>
      <c r="Q30" s="13">
        <v>0</v>
      </c>
      <c r="R30" s="13">
        <v>-34458</v>
      </c>
      <c r="S30" s="13">
        <v>-34133</v>
      </c>
      <c r="T30" s="13">
        <v>-57296</v>
      </c>
      <c r="U30" s="13">
        <v>-78208</v>
      </c>
      <c r="V30" s="13">
        <v>-204095</v>
      </c>
      <c r="W30" s="13">
        <v>-58476</v>
      </c>
      <c r="X30" s="13">
        <v>-15881</v>
      </c>
      <c r="Y30" s="13">
        <v>-74357</v>
      </c>
      <c r="Z30" s="13">
        <v>-4291</v>
      </c>
      <c r="AA30" s="13">
        <v>-78648</v>
      </c>
      <c r="AB30" s="13">
        <v>-19546</v>
      </c>
      <c r="AC30" s="13">
        <v>-98194</v>
      </c>
      <c r="AD30" s="50">
        <v>-12625</v>
      </c>
      <c r="AE30" s="50">
        <v>-13169</v>
      </c>
      <c r="AF30" s="50">
        <v>-25794</v>
      </c>
      <c r="AG30" s="50">
        <v>-17075</v>
      </c>
      <c r="AH30" s="50">
        <v>-42869</v>
      </c>
      <c r="AI30" s="50">
        <v>-19082</v>
      </c>
      <c r="AJ30" s="50">
        <v>-61951</v>
      </c>
      <c r="AK30" s="50">
        <v>-39948</v>
      </c>
      <c r="AL30" s="50">
        <v>-23793</v>
      </c>
      <c r="AM30" s="50">
        <v>-63741</v>
      </c>
      <c r="AN30" s="50">
        <v>-21251</v>
      </c>
      <c r="AO30" s="50">
        <v>-84992</v>
      </c>
      <c r="AP30" s="50">
        <v>-19715</v>
      </c>
      <c r="AQ30" s="50">
        <v>-104707</v>
      </c>
      <c r="AR30" s="50">
        <v>-5209</v>
      </c>
      <c r="AS30" s="50">
        <v>-43517</v>
      </c>
      <c r="AT30" s="50">
        <f t="shared" si="22"/>
        <v>-48726</v>
      </c>
    </row>
    <row r="31" spans="2:46">
      <c r="B31" s="106" t="s">
        <v>816</v>
      </c>
      <c r="C31" s="1"/>
      <c r="D31" s="3" t="s">
        <v>856</v>
      </c>
      <c r="E31" s="1"/>
      <c r="F31" s="13">
        <v>0</v>
      </c>
      <c r="G31" s="13">
        <v>0</v>
      </c>
      <c r="H31" s="13">
        <v>0</v>
      </c>
      <c r="I31" s="13">
        <v>0</v>
      </c>
      <c r="J31" s="13">
        <v>0</v>
      </c>
      <c r="K31" s="13">
        <v>0</v>
      </c>
      <c r="L31" s="13">
        <v>0</v>
      </c>
      <c r="M31" s="13">
        <v>0</v>
      </c>
      <c r="N31" s="13">
        <v>0</v>
      </c>
      <c r="O31" s="13">
        <v>0</v>
      </c>
      <c r="P31" s="13">
        <v>0</v>
      </c>
      <c r="Q31" s="13">
        <v>0</v>
      </c>
      <c r="R31" s="13">
        <v>-2420</v>
      </c>
      <c r="S31" s="13">
        <v>-2580</v>
      </c>
      <c r="T31" s="13">
        <v>-3164</v>
      </c>
      <c r="U31" s="13">
        <v>-3318</v>
      </c>
      <c r="V31" s="13">
        <v>-11482</v>
      </c>
      <c r="W31" s="13">
        <v>-4195</v>
      </c>
      <c r="X31" s="13">
        <v>-6828</v>
      </c>
      <c r="Y31" s="13">
        <v>-11023</v>
      </c>
      <c r="Z31" s="13">
        <v>-7670</v>
      </c>
      <c r="AA31" s="13">
        <v>-18693</v>
      </c>
      <c r="AB31" s="13">
        <v>-5203</v>
      </c>
      <c r="AC31" s="13">
        <v>-23896</v>
      </c>
      <c r="AD31" s="50">
        <v>-6360</v>
      </c>
      <c r="AE31" s="50">
        <v>-4853</v>
      </c>
      <c r="AF31" s="50">
        <v>-11213</v>
      </c>
      <c r="AG31" s="50">
        <v>-3957</v>
      </c>
      <c r="AH31" s="50">
        <v>-15170</v>
      </c>
      <c r="AI31" s="50">
        <v>-3543</v>
      </c>
      <c r="AJ31" s="50">
        <v>-18713</v>
      </c>
      <c r="AK31" s="50">
        <v>-3740</v>
      </c>
      <c r="AL31" s="50">
        <v>-3715</v>
      </c>
      <c r="AM31" s="50">
        <v>-7455</v>
      </c>
      <c r="AN31" s="50">
        <v>-3633</v>
      </c>
      <c r="AO31" s="50">
        <v>-11088</v>
      </c>
      <c r="AP31" s="50">
        <v>-320</v>
      </c>
      <c r="AQ31" s="50">
        <v>-11408</v>
      </c>
      <c r="AR31" s="50">
        <v>-409</v>
      </c>
      <c r="AS31" s="50">
        <v>-278</v>
      </c>
      <c r="AT31" s="50">
        <f t="shared" si="22"/>
        <v>-687</v>
      </c>
    </row>
    <row r="32" spans="2:46">
      <c r="B32" s="106" t="s">
        <v>817</v>
      </c>
      <c r="C32" s="1"/>
      <c r="D32" s="3" t="s">
        <v>857</v>
      </c>
      <c r="E32" s="1"/>
      <c r="F32" s="13">
        <v>0</v>
      </c>
      <c r="G32" s="13">
        <v>0</v>
      </c>
      <c r="H32" s="13">
        <v>0</v>
      </c>
      <c r="I32" s="13">
        <v>0</v>
      </c>
      <c r="J32" s="13">
        <v>0</v>
      </c>
      <c r="K32" s="13">
        <v>0</v>
      </c>
      <c r="L32" s="13">
        <v>0</v>
      </c>
      <c r="M32" s="13">
        <v>0</v>
      </c>
      <c r="N32" s="13">
        <v>0</v>
      </c>
      <c r="O32" s="13">
        <v>0</v>
      </c>
      <c r="P32" s="13">
        <v>0</v>
      </c>
      <c r="Q32" s="13">
        <v>0</v>
      </c>
      <c r="R32" s="13">
        <v>-21672</v>
      </c>
      <c r="S32" s="13">
        <v>-24127</v>
      </c>
      <c r="T32" s="13">
        <v>-27436</v>
      </c>
      <c r="U32" s="13">
        <v>-28920</v>
      </c>
      <c r="V32" s="13">
        <v>-102155</v>
      </c>
      <c r="W32" s="13">
        <v>-37188</v>
      </c>
      <c r="X32" s="13">
        <v>-48835</v>
      </c>
      <c r="Y32" s="13">
        <v>-86023</v>
      </c>
      <c r="Z32" s="13">
        <v>-54594</v>
      </c>
      <c r="AA32" s="13">
        <v>-140617</v>
      </c>
      <c r="AB32" s="13">
        <v>-42535</v>
      </c>
      <c r="AC32" s="13">
        <v>-183152</v>
      </c>
      <c r="AD32" s="50">
        <v>-61036</v>
      </c>
      <c r="AE32" s="50">
        <v>-58346</v>
      </c>
      <c r="AF32" s="50">
        <v>-119382</v>
      </c>
      <c r="AG32" s="50">
        <v>-52073</v>
      </c>
      <c r="AH32" s="50">
        <v>-171455</v>
      </c>
      <c r="AI32" s="50">
        <v>-48286</v>
      </c>
      <c r="AJ32" s="50">
        <v>-219741</v>
      </c>
      <c r="AK32" s="50">
        <v>-49021</v>
      </c>
      <c r="AL32" s="50">
        <v>-51884</v>
      </c>
      <c r="AM32" s="50">
        <v>-100905</v>
      </c>
      <c r="AN32" s="50">
        <v>-48455</v>
      </c>
      <c r="AO32" s="50">
        <v>-149360</v>
      </c>
      <c r="AP32" s="50">
        <v>-40388</v>
      </c>
      <c r="AQ32" s="50">
        <v>-189748</v>
      </c>
      <c r="AR32" s="50">
        <v>-34464</v>
      </c>
      <c r="AS32" s="50">
        <v>-33687</v>
      </c>
      <c r="AT32" s="50">
        <f t="shared" si="22"/>
        <v>-68151</v>
      </c>
    </row>
    <row r="33" spans="2:46">
      <c r="B33" s="106" t="s">
        <v>818</v>
      </c>
      <c r="C33" s="1"/>
      <c r="D33" s="3" t="s">
        <v>858</v>
      </c>
      <c r="E33" s="1"/>
      <c r="F33" s="13">
        <v>0</v>
      </c>
      <c r="G33" s="13">
        <v>0</v>
      </c>
      <c r="H33" s="13">
        <v>0</v>
      </c>
      <c r="I33" s="13">
        <v>0</v>
      </c>
      <c r="J33" s="13">
        <v>0</v>
      </c>
      <c r="K33" s="13">
        <v>0</v>
      </c>
      <c r="L33" s="13">
        <v>0</v>
      </c>
      <c r="M33" s="13">
        <v>0</v>
      </c>
      <c r="N33" s="13">
        <v>0</v>
      </c>
      <c r="O33" s="13">
        <v>0</v>
      </c>
      <c r="P33" s="13">
        <v>0</v>
      </c>
      <c r="Q33" s="13">
        <v>0</v>
      </c>
      <c r="R33" s="13">
        <v>-30029</v>
      </c>
      <c r="S33" s="13">
        <v>-33506</v>
      </c>
      <c r="T33" s="13">
        <v>-33706</v>
      </c>
      <c r="U33" s="13">
        <v>-30939</v>
      </c>
      <c r="V33" s="13">
        <v>-128180</v>
      </c>
      <c r="W33" s="13">
        <v>-42502</v>
      </c>
      <c r="X33" s="13">
        <v>-35425</v>
      </c>
      <c r="Y33" s="13">
        <v>-77927</v>
      </c>
      <c r="Z33" s="13">
        <v>-48793</v>
      </c>
      <c r="AA33" s="13">
        <v>-126720</v>
      </c>
      <c r="AB33" s="13">
        <v>-41422</v>
      </c>
      <c r="AC33" s="13">
        <v>-168142</v>
      </c>
      <c r="AD33" s="50">
        <v>-30644</v>
      </c>
      <c r="AE33" s="50">
        <v>-31293</v>
      </c>
      <c r="AF33" s="50">
        <v>-61937</v>
      </c>
      <c r="AG33" s="50">
        <v>-29438</v>
      </c>
      <c r="AH33" s="50">
        <v>-91375</v>
      </c>
      <c r="AI33" s="50">
        <v>-27030</v>
      </c>
      <c r="AJ33" s="50">
        <v>-118405</v>
      </c>
      <c r="AK33" s="50">
        <v>-22351</v>
      </c>
      <c r="AL33" s="50">
        <v>-24885</v>
      </c>
      <c r="AM33" s="50">
        <v>-47236</v>
      </c>
      <c r="AN33" s="50">
        <v>-24681</v>
      </c>
      <c r="AO33" s="50">
        <v>-71917</v>
      </c>
      <c r="AP33" s="50">
        <v>-22502</v>
      </c>
      <c r="AQ33" s="50">
        <v>-94419</v>
      </c>
      <c r="AR33" s="50">
        <v>-19244</v>
      </c>
      <c r="AS33" s="50">
        <v>-18523</v>
      </c>
      <c r="AT33" s="50">
        <f t="shared" si="22"/>
        <v>-37767</v>
      </c>
    </row>
    <row r="34" spans="2:46">
      <c r="B34" s="3" t="s">
        <v>80</v>
      </c>
      <c r="C34" s="1"/>
      <c r="D34" s="3" t="s">
        <v>80</v>
      </c>
      <c r="E34" s="1"/>
      <c r="F34" s="13">
        <v>-958</v>
      </c>
      <c r="G34" s="13">
        <v>-3234</v>
      </c>
      <c r="H34" s="13">
        <v>-10890</v>
      </c>
      <c r="I34" s="13">
        <v>-7880</v>
      </c>
      <c r="J34" s="13">
        <v>-13519</v>
      </c>
      <c r="K34" s="13">
        <v>-14577</v>
      </c>
      <c r="L34" s="13">
        <v>-46866</v>
      </c>
      <c r="M34" s="13">
        <v>-20579</v>
      </c>
      <c r="N34" s="13">
        <v>-24184</v>
      </c>
      <c r="O34" s="13">
        <v>-27649</v>
      </c>
      <c r="P34" s="13">
        <v>-31568</v>
      </c>
      <c r="Q34" s="13">
        <v>-103980</v>
      </c>
      <c r="R34" s="13">
        <v>-63158</v>
      </c>
      <c r="S34" s="13">
        <v>-64776</v>
      </c>
      <c r="T34" s="13">
        <v>-61497</v>
      </c>
      <c r="U34" s="13">
        <v>-51445</v>
      </c>
      <c r="V34" s="13">
        <v>-240876</v>
      </c>
      <c r="W34" s="13">
        <v>-49346</v>
      </c>
      <c r="X34" s="13">
        <v>-62951</v>
      </c>
      <c r="Y34" s="13">
        <v>-112297</v>
      </c>
      <c r="Z34" s="13">
        <v>-68271</v>
      </c>
      <c r="AA34" s="13">
        <v>-180568</v>
      </c>
      <c r="AB34" s="13">
        <v>-57272</v>
      </c>
      <c r="AC34" s="13">
        <v>-237840</v>
      </c>
      <c r="AD34" s="50">
        <v>-52784</v>
      </c>
      <c r="AE34" s="50">
        <v>-51703</v>
      </c>
      <c r="AF34" s="50">
        <v>-104487</v>
      </c>
      <c r="AG34" s="50">
        <v>-58393</v>
      </c>
      <c r="AH34" s="50">
        <v>-162880</v>
      </c>
      <c r="AI34" s="50">
        <v>-61762</v>
      </c>
      <c r="AJ34" s="50">
        <v>-224642</v>
      </c>
      <c r="AK34" s="50">
        <v>-68422</v>
      </c>
      <c r="AL34" s="50">
        <v>-58889</v>
      </c>
      <c r="AM34" s="50">
        <v>-127311</v>
      </c>
      <c r="AN34" s="50">
        <v>-52080</v>
      </c>
      <c r="AO34" s="50">
        <v>-179391</v>
      </c>
      <c r="AP34" s="50">
        <v>-48303</v>
      </c>
      <c r="AQ34" s="50">
        <v>-227694</v>
      </c>
      <c r="AR34" s="50">
        <v>-59801</v>
      </c>
      <c r="AS34" s="50">
        <v>-56051</v>
      </c>
      <c r="AT34" s="50">
        <f t="shared" si="22"/>
        <v>-115852</v>
      </c>
    </row>
    <row r="35" spans="2:46">
      <c r="B35" s="3" t="s">
        <v>767</v>
      </c>
      <c r="C35" s="1"/>
      <c r="D35" s="3" t="s">
        <v>778</v>
      </c>
      <c r="E35" s="1"/>
      <c r="F35" s="13">
        <v>0</v>
      </c>
      <c r="G35" s="13">
        <v>0</v>
      </c>
      <c r="H35" s="13">
        <v>0</v>
      </c>
      <c r="I35" s="13">
        <v>0</v>
      </c>
      <c r="J35" s="13">
        <v>0</v>
      </c>
      <c r="K35" s="13">
        <v>0</v>
      </c>
      <c r="L35" s="13">
        <v>0</v>
      </c>
      <c r="M35" s="13">
        <v>0</v>
      </c>
      <c r="N35" s="13">
        <v>0</v>
      </c>
      <c r="O35" s="13">
        <v>0</v>
      </c>
      <c r="P35" s="13">
        <v>0</v>
      </c>
      <c r="Q35" s="13">
        <v>0</v>
      </c>
      <c r="R35" s="13">
        <v>0</v>
      </c>
      <c r="S35" s="13">
        <v>0</v>
      </c>
      <c r="T35" s="13">
        <v>-37962</v>
      </c>
      <c r="U35" s="13">
        <v>-32749</v>
      </c>
      <c r="V35" s="13">
        <v>-70711</v>
      </c>
      <c r="W35" s="13">
        <v>0</v>
      </c>
      <c r="X35" s="13">
        <v>0</v>
      </c>
      <c r="Y35" s="13">
        <v>0</v>
      </c>
      <c r="Z35" s="13">
        <v>0</v>
      </c>
      <c r="AA35" s="13">
        <v>0</v>
      </c>
      <c r="AB35" s="13">
        <v>0</v>
      </c>
      <c r="AC35" s="13">
        <v>0</v>
      </c>
      <c r="AD35" s="13">
        <v>0</v>
      </c>
      <c r="AE35" s="13">
        <v>0</v>
      </c>
      <c r="AF35" s="13">
        <v>0</v>
      </c>
      <c r="AG35" s="13">
        <v>0</v>
      </c>
      <c r="AH35" s="13">
        <v>0</v>
      </c>
      <c r="AI35" s="13">
        <v>0</v>
      </c>
      <c r="AJ35" s="13">
        <v>0</v>
      </c>
      <c r="AK35" s="13">
        <v>0</v>
      </c>
      <c r="AL35" s="13">
        <v>0</v>
      </c>
      <c r="AM35" s="13">
        <v>0</v>
      </c>
      <c r="AN35" s="13">
        <v>0</v>
      </c>
      <c r="AO35" s="13">
        <v>0</v>
      </c>
      <c r="AP35" s="13">
        <v>0</v>
      </c>
      <c r="AQ35" s="13">
        <v>0</v>
      </c>
      <c r="AR35" s="13">
        <v>0</v>
      </c>
      <c r="AS35" s="13">
        <v>0</v>
      </c>
      <c r="AT35" s="13">
        <f t="shared" si="22"/>
        <v>0</v>
      </c>
    </row>
    <row r="36" spans="2:46" ht="3.75" customHeight="1" thickBot="1">
      <c r="C36" s="1"/>
      <c r="E36" s="1"/>
      <c r="F36" s="13"/>
      <c r="G36" s="13"/>
      <c r="H36" s="13"/>
      <c r="I36" s="13"/>
      <c r="J36" s="13"/>
      <c r="K36" s="13"/>
      <c r="L36" s="13"/>
      <c r="M36" s="13"/>
      <c r="N36" s="13"/>
      <c r="O36" s="13"/>
      <c r="P36" s="13"/>
      <c r="Q36" s="13"/>
      <c r="R36" s="13"/>
      <c r="S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row>
    <row r="37" spans="2:46" ht="13.5" thickBot="1">
      <c r="B37" s="28" t="s">
        <v>89</v>
      </c>
      <c r="C37" s="27"/>
      <c r="D37" s="28" t="s">
        <v>642</v>
      </c>
      <c r="E37" s="27"/>
      <c r="F37" s="40">
        <v>-147776</v>
      </c>
      <c r="G37" s="40">
        <v>-184098</v>
      </c>
      <c r="H37" s="40">
        <v>-90219</v>
      </c>
      <c r="I37" s="40">
        <v>-66521</v>
      </c>
      <c r="J37" s="40">
        <v>-81262</v>
      </c>
      <c r="K37" s="40">
        <v>-75434</v>
      </c>
      <c r="L37" s="40">
        <v>-313436</v>
      </c>
      <c r="M37" s="40">
        <v>-114156</v>
      </c>
      <c r="N37" s="40">
        <v>-117756</v>
      </c>
      <c r="O37" s="40">
        <v>-125745</v>
      </c>
      <c r="P37" s="40">
        <v>-148140</v>
      </c>
      <c r="Q37" s="40">
        <v>-505798</v>
      </c>
      <c r="R37" s="40">
        <v>-288737</v>
      </c>
      <c r="S37" s="40">
        <v>-311138</v>
      </c>
      <c r="T37" s="40">
        <v>-381415</v>
      </c>
      <c r="U37" s="40">
        <v>-385229</v>
      </c>
      <c r="V37" s="40">
        <v>-1366519</v>
      </c>
      <c r="W37" s="40">
        <f t="shared" ref="W37:AE37" si="23">SUM(W25:W35)</f>
        <v>-384376</v>
      </c>
      <c r="X37" s="40">
        <f t="shared" si="23"/>
        <v>-339076</v>
      </c>
      <c r="Y37" s="40">
        <f t="shared" si="23"/>
        <v>-723452</v>
      </c>
      <c r="Z37" s="40">
        <f t="shared" si="23"/>
        <v>-370495</v>
      </c>
      <c r="AA37" s="40">
        <f t="shared" si="23"/>
        <v>-1093947</v>
      </c>
      <c r="AB37" s="40">
        <f t="shared" si="23"/>
        <v>-442270</v>
      </c>
      <c r="AC37" s="40">
        <f t="shared" si="23"/>
        <v>-1536217</v>
      </c>
      <c r="AD37" s="40">
        <f t="shared" si="23"/>
        <v>-391382.80237000005</v>
      </c>
      <c r="AE37" s="40">
        <f t="shared" si="23"/>
        <v>-378939</v>
      </c>
      <c r="AF37" s="40">
        <f t="shared" ref="AF37:AJ37" si="24">SUM(AF25:AF35)</f>
        <v>-770321.80237000005</v>
      </c>
      <c r="AG37" s="40">
        <f t="shared" si="24"/>
        <v>-410787</v>
      </c>
      <c r="AH37" s="40">
        <f t="shared" si="24"/>
        <v>-1181108.8023700002</v>
      </c>
      <c r="AI37" s="40">
        <f t="shared" si="24"/>
        <v>-440409.19762999995</v>
      </c>
      <c r="AJ37" s="40">
        <f t="shared" si="24"/>
        <v>-1621518</v>
      </c>
      <c r="AK37" s="40">
        <f t="shared" ref="AK37:AL37" si="25">SUM(AK25:AK35)</f>
        <v>-436905</v>
      </c>
      <c r="AL37" s="40">
        <f t="shared" si="25"/>
        <v>-432530</v>
      </c>
      <c r="AM37" s="40">
        <f t="shared" ref="AM37:AN37" si="26">SUM(AM25:AM35)</f>
        <v>-869435</v>
      </c>
      <c r="AN37" s="40">
        <f t="shared" si="26"/>
        <v>-436431</v>
      </c>
      <c r="AO37" s="40">
        <f t="shared" ref="AO37:AP37" si="27">SUM(AO25:AO35)</f>
        <v>-1305866</v>
      </c>
      <c r="AP37" s="40">
        <f t="shared" si="27"/>
        <v>-409087</v>
      </c>
      <c r="AQ37" s="40">
        <f t="shared" ref="AQ37" si="28">SUM(AQ25:AQ35)</f>
        <v>-1714953</v>
      </c>
      <c r="AR37" s="40">
        <v>-374186</v>
      </c>
      <c r="AS37" s="40">
        <f t="shared" ref="AS37:AT37" si="29">SUM(AS25:AS35)</f>
        <v>-411849</v>
      </c>
      <c r="AT37" s="40">
        <f t="shared" si="29"/>
        <v>-786035</v>
      </c>
    </row>
    <row r="38" spans="2:46" ht="6.75" customHeight="1" thickBot="1">
      <c r="F38" s="5"/>
      <c r="G38" s="5"/>
      <c r="H38" s="5"/>
      <c r="I38" s="5"/>
      <c r="J38" s="5"/>
      <c r="K38" s="5"/>
      <c r="L38" s="6"/>
      <c r="M38" s="51"/>
      <c r="N38" s="6"/>
      <c r="O38" s="6"/>
      <c r="P38" s="6"/>
      <c r="Q38" s="6"/>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row>
    <row r="39" spans="2:46" s="1" customFormat="1" ht="13.5" thickBot="1">
      <c r="B39" s="28" t="s">
        <v>88</v>
      </c>
      <c r="C39" s="27"/>
      <c r="D39" s="28" t="s">
        <v>88</v>
      </c>
      <c r="E39" s="27"/>
      <c r="F39" s="41">
        <v>151892</v>
      </c>
      <c r="G39" s="41">
        <v>155825</v>
      </c>
      <c r="H39" s="41">
        <v>105329</v>
      </c>
      <c r="I39" s="41">
        <v>118967</v>
      </c>
      <c r="J39" s="41">
        <v>118915</v>
      </c>
      <c r="K39" s="41">
        <v>131194</v>
      </c>
      <c r="L39" s="41">
        <v>474405</v>
      </c>
      <c r="M39" s="41">
        <v>131632</v>
      </c>
      <c r="N39" s="41">
        <v>131354</v>
      </c>
      <c r="O39" s="41">
        <v>134599</v>
      </c>
      <c r="P39" s="41">
        <v>137222</v>
      </c>
      <c r="Q39" s="41">
        <v>534806</v>
      </c>
      <c r="R39" s="41">
        <v>414739</v>
      </c>
      <c r="S39" s="41">
        <v>379871</v>
      </c>
      <c r="T39" s="41">
        <f>T22+T37</f>
        <v>423433</v>
      </c>
      <c r="U39" s="41">
        <f t="shared" ref="U39:AE39" si="30">U37+U22</f>
        <v>391377</v>
      </c>
      <c r="V39" s="41">
        <f t="shared" si="30"/>
        <v>1609420</v>
      </c>
      <c r="W39" s="41">
        <f t="shared" si="30"/>
        <v>334836</v>
      </c>
      <c r="X39" s="41">
        <f t="shared" si="30"/>
        <v>319238</v>
      </c>
      <c r="Y39" s="41">
        <f t="shared" si="30"/>
        <v>654074</v>
      </c>
      <c r="Z39" s="41">
        <f t="shared" si="30"/>
        <v>377334</v>
      </c>
      <c r="AA39" s="41">
        <f t="shared" si="30"/>
        <v>1031408</v>
      </c>
      <c r="AB39" s="41">
        <f t="shared" si="30"/>
        <v>246736</v>
      </c>
      <c r="AC39" s="41">
        <f t="shared" si="30"/>
        <v>1278144</v>
      </c>
      <c r="AD39" s="41">
        <f t="shared" si="30"/>
        <v>353352</v>
      </c>
      <c r="AE39" s="41">
        <f t="shared" si="30"/>
        <v>447314.79822000011</v>
      </c>
      <c r="AF39" s="41">
        <f t="shared" ref="AF39:AJ39" si="31">AF37+AF22</f>
        <v>800666.79821999988</v>
      </c>
      <c r="AG39" s="41">
        <f t="shared" si="31"/>
        <v>439402.39941000007</v>
      </c>
      <c r="AH39" s="41">
        <f t="shared" si="31"/>
        <v>1240069.1976300003</v>
      </c>
      <c r="AI39" s="41">
        <f t="shared" si="31"/>
        <v>402966.80236999993</v>
      </c>
      <c r="AJ39" s="41">
        <f t="shared" si="31"/>
        <v>1643036</v>
      </c>
      <c r="AK39" s="41">
        <f t="shared" ref="AK39:AL39" si="32">AK37+AK22</f>
        <v>423846.78535000002</v>
      </c>
      <c r="AL39" s="41">
        <f t="shared" si="32"/>
        <v>373772.9559399999</v>
      </c>
      <c r="AM39" s="41">
        <f t="shared" ref="AM39:AN39" si="33">AM37+AM22</f>
        <v>797619.74129000003</v>
      </c>
      <c r="AN39" s="41">
        <f t="shared" si="33"/>
        <v>349953.80420999997</v>
      </c>
      <c r="AO39" s="41">
        <f t="shared" ref="AO39:AP39" si="34">AO37+AO22</f>
        <v>1147573.5455</v>
      </c>
      <c r="AP39" s="41">
        <f t="shared" si="34"/>
        <v>295083.09236000001</v>
      </c>
      <c r="AQ39" s="41">
        <f t="shared" ref="AQ39" si="35">AQ37+AQ22</f>
        <v>1442656</v>
      </c>
      <c r="AR39" s="41">
        <v>310270</v>
      </c>
      <c r="AS39" s="41">
        <f t="shared" ref="AS39:AT39" si="36">AS37+AS22</f>
        <v>396094</v>
      </c>
      <c r="AT39" s="41">
        <f t="shared" si="36"/>
        <v>706364</v>
      </c>
    </row>
    <row r="40" spans="2:46">
      <c r="F40" s="5"/>
      <c r="G40" s="5"/>
      <c r="H40" s="5"/>
      <c r="I40" s="5"/>
      <c r="J40" s="5"/>
      <c r="K40" s="5"/>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row>
    <row r="41" spans="2:46">
      <c r="B41" s="3" t="s">
        <v>81</v>
      </c>
      <c r="C41" s="1"/>
      <c r="D41" s="3" t="s">
        <v>644</v>
      </c>
      <c r="E41" s="1"/>
      <c r="F41" s="13">
        <v>-62304</v>
      </c>
      <c r="G41" s="13">
        <v>-95379</v>
      </c>
      <c r="H41" s="13">
        <v>-53270</v>
      </c>
      <c r="I41" s="13">
        <v>-53107</v>
      </c>
      <c r="J41" s="13">
        <v>-51861</v>
      </c>
      <c r="K41" s="13">
        <v>-84347</v>
      </c>
      <c r="L41" s="13">
        <v>-242585</v>
      </c>
      <c r="M41" s="13">
        <v>-61052</v>
      </c>
      <c r="N41" s="13">
        <v>-68381</v>
      </c>
      <c r="O41" s="13">
        <v>-77661</v>
      </c>
      <c r="P41" s="13">
        <v>-43107</v>
      </c>
      <c r="Q41" s="13">
        <v>-250200</v>
      </c>
      <c r="R41" s="13">
        <v>-69932</v>
      </c>
      <c r="S41" s="13">
        <v>-85108</v>
      </c>
      <c r="T41" s="13">
        <v>-112580</v>
      </c>
      <c r="U41" s="13">
        <v>-83600</v>
      </c>
      <c r="V41" s="13">
        <v>-351220</v>
      </c>
      <c r="W41" s="13">
        <v>-103923</v>
      </c>
      <c r="X41" s="13">
        <v>-145186</v>
      </c>
      <c r="Y41" s="13">
        <v>-249109</v>
      </c>
      <c r="Z41" s="13">
        <v>-182422</v>
      </c>
      <c r="AA41" s="13">
        <v>-431531</v>
      </c>
      <c r="AB41" s="13">
        <f>AC41-AA41</f>
        <v>-166796</v>
      </c>
      <c r="AC41" s="13">
        <v>-598327</v>
      </c>
      <c r="AD41" s="13">
        <v>-153862</v>
      </c>
      <c r="AE41" s="13">
        <v>-178214</v>
      </c>
      <c r="AF41" s="13">
        <v>-332076</v>
      </c>
      <c r="AG41" s="13">
        <v>-202998</v>
      </c>
      <c r="AH41" s="13">
        <v>-535074</v>
      </c>
      <c r="AI41" s="13">
        <v>-159742</v>
      </c>
      <c r="AJ41" s="13">
        <v>-694816</v>
      </c>
      <c r="AK41" s="13">
        <v>-164082</v>
      </c>
      <c r="AL41" s="13">
        <v>-195367</v>
      </c>
      <c r="AM41" s="13">
        <v>-359449</v>
      </c>
      <c r="AN41" s="13">
        <v>-192350</v>
      </c>
      <c r="AO41" s="13">
        <v>-551799</v>
      </c>
      <c r="AP41" s="13">
        <v>-169278</v>
      </c>
      <c r="AQ41" s="13">
        <v>-721077</v>
      </c>
      <c r="AR41" s="13">
        <v>-152281</v>
      </c>
      <c r="AS41" s="13">
        <v>-173038</v>
      </c>
      <c r="AT41" s="13">
        <f t="shared" ref="AT41:AT42" si="37">AS41+AR41</f>
        <v>-325319</v>
      </c>
    </row>
    <row r="42" spans="2:46">
      <c r="B42" s="3" t="s">
        <v>1223</v>
      </c>
      <c r="C42" s="1"/>
      <c r="D42" s="3" t="s">
        <v>1224</v>
      </c>
      <c r="E42" s="1"/>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v>-7895</v>
      </c>
      <c r="AS42" s="13">
        <v>0</v>
      </c>
      <c r="AT42" s="13">
        <f t="shared" si="37"/>
        <v>-7895</v>
      </c>
    </row>
    <row r="43" spans="2:46" ht="4.5" customHeight="1" thickBot="1">
      <c r="B43" s="10"/>
      <c r="C43" s="1"/>
      <c r="D43" s="10"/>
      <c r="E43" s="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2:46" s="1" customFormat="1" ht="13.5" thickBot="1">
      <c r="B44" s="28" t="s">
        <v>584</v>
      </c>
      <c r="C44" s="27"/>
      <c r="D44" s="28" t="s">
        <v>645</v>
      </c>
      <c r="E44" s="27"/>
      <c r="F44" s="41">
        <v>89588</v>
      </c>
      <c r="G44" s="41">
        <v>60446</v>
      </c>
      <c r="H44" s="41">
        <v>52059</v>
      </c>
      <c r="I44" s="41">
        <v>65860</v>
      </c>
      <c r="J44" s="41">
        <v>67054</v>
      </c>
      <c r="K44" s="41">
        <v>46847</v>
      </c>
      <c r="L44" s="41">
        <v>231820</v>
      </c>
      <c r="M44" s="41">
        <v>70580</v>
      </c>
      <c r="N44" s="41">
        <v>62973</v>
      </c>
      <c r="O44" s="41">
        <v>56938</v>
      </c>
      <c r="P44" s="41">
        <v>94115</v>
      </c>
      <c r="Q44" s="41">
        <v>284606</v>
      </c>
      <c r="R44" s="41">
        <v>344807</v>
      </c>
      <c r="S44" s="41">
        <v>294763</v>
      </c>
      <c r="T44" s="41">
        <f t="shared" ref="T44:Y44" si="38">T39+T41</f>
        <v>310853</v>
      </c>
      <c r="U44" s="41">
        <f t="shared" si="38"/>
        <v>307777</v>
      </c>
      <c r="V44" s="41">
        <f t="shared" si="38"/>
        <v>1258200</v>
      </c>
      <c r="W44" s="41">
        <f t="shared" si="38"/>
        <v>230913</v>
      </c>
      <c r="X44" s="41">
        <f t="shared" si="38"/>
        <v>174052</v>
      </c>
      <c r="Y44" s="41">
        <f t="shared" si="38"/>
        <v>404965</v>
      </c>
      <c r="Z44" s="41">
        <f>Z39+Z41</f>
        <v>194912</v>
      </c>
      <c r="AA44" s="41">
        <f>AA39+AA41</f>
        <v>599877</v>
      </c>
      <c r="AB44" s="41">
        <f>AB39+AB41</f>
        <v>79940</v>
      </c>
      <c r="AC44" s="41">
        <f>AC39+AC41</f>
        <v>679817</v>
      </c>
      <c r="AD44" s="41">
        <f>AD39+AD41</f>
        <v>199490</v>
      </c>
      <c r="AE44" s="41">
        <f t="shared" ref="AE44" si="39">AE39+AE41</f>
        <v>269100.79822000011</v>
      </c>
      <c r="AF44" s="41">
        <f t="shared" ref="AF44:AJ44" si="40">AF39+AF41</f>
        <v>468590.79821999988</v>
      </c>
      <c r="AG44" s="41">
        <f t="shared" si="40"/>
        <v>236404.39941000007</v>
      </c>
      <c r="AH44" s="41">
        <f t="shared" si="40"/>
        <v>704995.1976300003</v>
      </c>
      <c r="AI44" s="41">
        <f t="shared" si="40"/>
        <v>243224.80236999993</v>
      </c>
      <c r="AJ44" s="41">
        <f t="shared" si="40"/>
        <v>948220</v>
      </c>
      <c r="AK44" s="41">
        <f t="shared" ref="AK44:AL44" si="41">AK39+AK41</f>
        <v>259764.78535000002</v>
      </c>
      <c r="AL44" s="41">
        <f t="shared" si="41"/>
        <v>178405.9559399999</v>
      </c>
      <c r="AM44" s="41">
        <f t="shared" ref="AM44:AN44" si="42">AM39+AM41</f>
        <v>438170.74129000003</v>
      </c>
      <c r="AN44" s="41">
        <f t="shared" si="42"/>
        <v>157603.80420999997</v>
      </c>
      <c r="AO44" s="41">
        <f t="shared" ref="AO44:AP44" si="43">AO39+AO41</f>
        <v>595774.54550000001</v>
      </c>
      <c r="AP44" s="41">
        <f t="shared" si="43"/>
        <v>125805.09236000001</v>
      </c>
      <c r="AQ44" s="41">
        <f t="shared" ref="AQ44" si="44">AQ39+AQ41</f>
        <v>721579</v>
      </c>
      <c r="AR44" s="41">
        <v>150094</v>
      </c>
      <c r="AS44" s="41">
        <f>AS39+AS41+AS42</f>
        <v>223056</v>
      </c>
      <c r="AT44" s="41">
        <f>AT39+AT41+AT42</f>
        <v>373150</v>
      </c>
    </row>
    <row r="45" spans="2:46">
      <c r="B45" s="10"/>
      <c r="C45" s="1"/>
      <c r="D45" s="10"/>
      <c r="E45" s="1"/>
      <c r="F45" s="212"/>
      <c r="G45" s="212"/>
      <c r="H45" s="212"/>
      <c r="I45" s="212"/>
      <c r="J45" s="212"/>
      <c r="K45" s="212"/>
      <c r="L45" s="212"/>
      <c r="M45" s="212"/>
      <c r="N45" s="212"/>
      <c r="O45" s="212"/>
      <c r="P45" s="212"/>
      <c r="Q45" s="212"/>
      <c r="R45" s="212"/>
      <c r="S45" s="212"/>
      <c r="T45" s="212"/>
      <c r="U45" s="212"/>
      <c r="V45" s="212"/>
      <c r="W45" s="212"/>
      <c r="X45" s="212"/>
      <c r="Y45" s="212"/>
      <c r="Z45" s="212"/>
      <c r="AA45" s="212"/>
      <c r="AB45" s="212"/>
      <c r="AC45" s="212"/>
      <c r="AD45" s="212"/>
      <c r="AE45" s="212"/>
      <c r="AF45" s="212"/>
      <c r="AG45" s="212"/>
      <c r="AH45" s="212"/>
      <c r="AI45" s="212"/>
      <c r="AJ45" s="212"/>
      <c r="AK45" s="212"/>
      <c r="AL45" s="212"/>
      <c r="AM45" s="212"/>
      <c r="AN45" s="212"/>
      <c r="AO45" s="212"/>
      <c r="AP45" s="212"/>
      <c r="AQ45" s="212"/>
      <c r="AR45" s="212"/>
      <c r="AS45" s="212"/>
      <c r="AT45" s="212"/>
    </row>
    <row r="46" spans="2:46">
      <c r="B46" s="7" t="s">
        <v>42</v>
      </c>
      <c r="C46" s="1"/>
      <c r="D46" s="7" t="s">
        <v>712</v>
      </c>
      <c r="E46" s="1"/>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row>
    <row r="47" spans="2:46">
      <c r="B47" s="10" t="s">
        <v>43</v>
      </c>
      <c r="C47" s="1"/>
      <c r="D47" s="10" t="s">
        <v>620</v>
      </c>
      <c r="E47" s="1"/>
      <c r="F47" s="13">
        <v>2920</v>
      </c>
      <c r="G47" s="13">
        <v>1785</v>
      </c>
      <c r="H47" s="13">
        <v>402</v>
      </c>
      <c r="I47" s="13">
        <v>4035</v>
      </c>
      <c r="J47" s="13">
        <v>5330</v>
      </c>
      <c r="K47" s="13">
        <v>-8978</v>
      </c>
      <c r="L47" s="13">
        <v>789</v>
      </c>
      <c r="M47" s="13">
        <v>15543</v>
      </c>
      <c r="N47" s="13">
        <v>5335</v>
      </c>
      <c r="O47" s="13">
        <v>5228</v>
      </c>
      <c r="P47" s="13">
        <v>5246</v>
      </c>
      <c r="Q47" s="13">
        <v>31352</v>
      </c>
      <c r="R47" s="13">
        <v>4287</v>
      </c>
      <c r="S47" s="13">
        <v>6335</v>
      </c>
      <c r="T47" s="13">
        <v>7489</v>
      </c>
      <c r="U47" s="13">
        <v>10924</v>
      </c>
      <c r="V47" s="13">
        <v>29035</v>
      </c>
      <c r="W47" s="13">
        <v>10888</v>
      </c>
      <c r="X47" s="13">
        <v>14872</v>
      </c>
      <c r="Y47" s="13">
        <v>25760</v>
      </c>
      <c r="Z47" s="13">
        <v>20463</v>
      </c>
      <c r="AA47" s="50">
        <v>46223</v>
      </c>
      <c r="AB47" s="13">
        <f>AC47-AA47</f>
        <v>19726</v>
      </c>
      <c r="AC47" s="50">
        <v>65949</v>
      </c>
      <c r="AD47" s="13">
        <v>10619</v>
      </c>
      <c r="AE47" s="13">
        <v>15674</v>
      </c>
      <c r="AF47" s="13">
        <v>26249</v>
      </c>
      <c r="AG47" s="13">
        <v>12304</v>
      </c>
      <c r="AH47" s="13">
        <v>38553</v>
      </c>
      <c r="AI47" s="13">
        <v>11999</v>
      </c>
      <c r="AJ47" s="13">
        <v>50552</v>
      </c>
      <c r="AK47" s="13">
        <v>12415</v>
      </c>
      <c r="AL47" s="13">
        <v>10179</v>
      </c>
      <c r="AM47" s="13">
        <v>22594</v>
      </c>
      <c r="AN47" s="13">
        <v>13527</v>
      </c>
      <c r="AO47" s="13">
        <v>36121</v>
      </c>
      <c r="AP47" s="13">
        <v>19131</v>
      </c>
      <c r="AQ47" s="13">
        <v>55252</v>
      </c>
      <c r="AR47" s="13">
        <v>14703</v>
      </c>
      <c r="AS47" s="13">
        <v>12493</v>
      </c>
      <c r="AT47" s="13">
        <f t="shared" ref="AT47:AT49" si="45">AS47+AR47</f>
        <v>27196</v>
      </c>
    </row>
    <row r="48" spans="2:46">
      <c r="B48" s="10" t="s">
        <v>44</v>
      </c>
      <c r="C48" s="1"/>
      <c r="D48" s="10" t="s">
        <v>621</v>
      </c>
      <c r="E48" s="1"/>
      <c r="F48" s="13">
        <v>-3569</v>
      </c>
      <c r="G48" s="13">
        <v>-9685</v>
      </c>
      <c r="H48" s="13">
        <v>-28179</v>
      </c>
      <c r="I48" s="13">
        <v>-33412</v>
      </c>
      <c r="J48" s="13">
        <v>-33518</v>
      </c>
      <c r="K48" s="13">
        <v>-22053</v>
      </c>
      <c r="L48" s="13">
        <v>-117162</v>
      </c>
      <c r="M48" s="13">
        <v>-23061</v>
      </c>
      <c r="N48" s="13">
        <v>-30962</v>
      </c>
      <c r="O48" s="13">
        <v>-22148</v>
      </c>
      <c r="P48" s="13">
        <v>-17776</v>
      </c>
      <c r="Q48" s="13">
        <v>-93947</v>
      </c>
      <c r="R48" s="13">
        <v>-23182</v>
      </c>
      <c r="S48" s="13">
        <v>-26210</v>
      </c>
      <c r="T48" s="13">
        <v>-44024</v>
      </c>
      <c r="U48" s="13">
        <v>-19218</v>
      </c>
      <c r="V48" s="13">
        <v>-109445</v>
      </c>
      <c r="W48" s="13">
        <v>-24454</v>
      </c>
      <c r="X48" s="13">
        <v>-21116</v>
      </c>
      <c r="Y48" s="13">
        <v>-45570</v>
      </c>
      <c r="Z48" s="13">
        <v>-33073</v>
      </c>
      <c r="AA48" s="50">
        <v>-78644</v>
      </c>
      <c r="AB48" s="13">
        <f>AC48-AA48</f>
        <v>-30229</v>
      </c>
      <c r="AC48" s="50">
        <v>-108873</v>
      </c>
      <c r="AD48" s="13">
        <v>-49186</v>
      </c>
      <c r="AE48" s="13">
        <v>-43505</v>
      </c>
      <c r="AF48" s="13">
        <v>-81244</v>
      </c>
      <c r="AG48" s="13">
        <v>-70989</v>
      </c>
      <c r="AH48" s="13">
        <v>-152233</v>
      </c>
      <c r="AI48" s="13">
        <v>-88611</v>
      </c>
      <c r="AJ48" s="13">
        <v>-240844</v>
      </c>
      <c r="AK48" s="13">
        <v>-70095</v>
      </c>
      <c r="AL48" s="13">
        <v>-66573</v>
      </c>
      <c r="AM48" s="13">
        <v>-136668</v>
      </c>
      <c r="AN48" s="13">
        <v>-88196</v>
      </c>
      <c r="AO48" s="13">
        <v>-224864</v>
      </c>
      <c r="AP48" s="13">
        <v>-88262</v>
      </c>
      <c r="AQ48" s="13">
        <v>-313126</v>
      </c>
      <c r="AR48" s="13">
        <v>-117000</v>
      </c>
      <c r="AS48" s="13">
        <v>-122104</v>
      </c>
      <c r="AT48" s="13">
        <f t="shared" si="45"/>
        <v>-239104</v>
      </c>
    </row>
    <row r="49" spans="2:46" ht="15" customHeight="1">
      <c r="B49" s="10" t="s">
        <v>45</v>
      </c>
      <c r="C49" s="1"/>
      <c r="D49" s="10" t="s">
        <v>622</v>
      </c>
      <c r="E49" s="1"/>
      <c r="F49" s="13">
        <v>-245</v>
      </c>
      <c r="G49" s="13">
        <v>19292</v>
      </c>
      <c r="H49" s="13">
        <v>-229114</v>
      </c>
      <c r="I49" s="13">
        <v>-56077</v>
      </c>
      <c r="J49" s="13">
        <v>-25600</v>
      </c>
      <c r="K49" s="13">
        <v>77707</v>
      </c>
      <c r="L49" s="13">
        <v>-233084</v>
      </c>
      <c r="M49" s="13">
        <v>-87267</v>
      </c>
      <c r="N49" s="13">
        <v>89297</v>
      </c>
      <c r="O49" s="13">
        <v>-4220</v>
      </c>
      <c r="P49" s="13">
        <v>13796</v>
      </c>
      <c r="Q49" s="13">
        <v>11606</v>
      </c>
      <c r="R49" s="13">
        <v>204750</v>
      </c>
      <c r="S49" s="13">
        <v>-106978</v>
      </c>
      <c r="T49" s="13">
        <v>-8953</v>
      </c>
      <c r="U49" s="13">
        <v>61180</v>
      </c>
      <c r="V49" s="13">
        <v>146810</v>
      </c>
      <c r="W49" s="13">
        <v>19867</v>
      </c>
      <c r="X49" s="13">
        <v>61636</v>
      </c>
      <c r="Y49" s="13">
        <v>81503</v>
      </c>
      <c r="Z49" s="13">
        <v>-35785</v>
      </c>
      <c r="AA49" s="13">
        <v>45719</v>
      </c>
      <c r="AB49" s="13">
        <f>AC49-AA49</f>
        <v>46217</v>
      </c>
      <c r="AC49" s="13">
        <v>91936</v>
      </c>
      <c r="AD49" s="13">
        <v>-32411</v>
      </c>
      <c r="AE49" s="13">
        <v>-55233</v>
      </c>
      <c r="AF49" s="13">
        <v>-87644</v>
      </c>
      <c r="AG49" s="13">
        <v>10427</v>
      </c>
      <c r="AH49" s="13">
        <v>-77217</v>
      </c>
      <c r="AI49" s="13">
        <v>51241</v>
      </c>
      <c r="AJ49" s="13">
        <v>-25976</v>
      </c>
      <c r="AK49" s="13">
        <v>-34124</v>
      </c>
      <c r="AL49" s="13">
        <v>-21396</v>
      </c>
      <c r="AM49" s="13">
        <v>-55520</v>
      </c>
      <c r="AN49" s="13">
        <v>-7994</v>
      </c>
      <c r="AO49" s="13">
        <v>-63514</v>
      </c>
      <c r="AP49" s="13">
        <v>9207</v>
      </c>
      <c r="AQ49" s="13">
        <v>-54307</v>
      </c>
      <c r="AR49" s="13">
        <v>-52021</v>
      </c>
      <c r="AS49" s="13">
        <v>2447</v>
      </c>
      <c r="AT49" s="13">
        <f t="shared" si="45"/>
        <v>-49574</v>
      </c>
    </row>
    <row r="50" spans="2:46" ht="15" customHeight="1">
      <c r="B50" s="10"/>
      <c r="C50" s="1"/>
      <c r="D50" s="10"/>
      <c r="E50" s="1"/>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row>
    <row r="51" spans="2:46" ht="15" customHeight="1">
      <c r="B51" s="10"/>
      <c r="C51" s="1"/>
      <c r="D51" s="10"/>
      <c r="E51" s="1"/>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row>
    <row r="52" spans="2:46" ht="15" customHeight="1">
      <c r="B52" s="10"/>
      <c r="C52" s="1"/>
      <c r="D52" s="10"/>
      <c r="E52" s="1"/>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row>
    <row r="53" spans="2:46" ht="15" customHeight="1">
      <c r="B53" s="10" t="s">
        <v>1109</v>
      </c>
      <c r="C53" s="1"/>
      <c r="D53" s="10"/>
      <c r="E53" s="1"/>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v>-135529</v>
      </c>
      <c r="AF53" s="13">
        <v>-135529</v>
      </c>
      <c r="AG53" s="13">
        <v>-7354</v>
      </c>
      <c r="AH53" s="13">
        <v>-142883</v>
      </c>
      <c r="AI53" s="13">
        <v>-225957</v>
      </c>
      <c r="AJ53" s="13">
        <v>-368840</v>
      </c>
      <c r="AK53" s="13">
        <v>138590</v>
      </c>
      <c r="AL53" s="13">
        <v>150078</v>
      </c>
      <c r="AM53" s="13">
        <v>288668</v>
      </c>
      <c r="AN53" s="13">
        <v>79637</v>
      </c>
      <c r="AO53" s="13">
        <v>368305</v>
      </c>
      <c r="AP53" s="13">
        <v>-16183</v>
      </c>
      <c r="AQ53" s="13">
        <v>352122</v>
      </c>
      <c r="AR53" s="13">
        <v>265655</v>
      </c>
      <c r="AS53" s="13">
        <v>99522</v>
      </c>
      <c r="AT53" s="13">
        <f t="shared" ref="AT53:AT58" si="46">AS53+AR53</f>
        <v>365177</v>
      </c>
    </row>
    <row r="54" spans="2:46" s="404" customFormat="1" ht="15" customHeight="1">
      <c r="B54" s="403" t="s">
        <v>1268</v>
      </c>
      <c r="C54" s="405"/>
      <c r="D54" s="406"/>
      <c r="E54" s="405"/>
      <c r="F54" s="407"/>
      <c r="G54" s="407"/>
      <c r="H54" s="407"/>
      <c r="I54" s="407"/>
      <c r="J54" s="407"/>
      <c r="K54" s="407"/>
      <c r="L54" s="407"/>
      <c r="M54" s="407"/>
      <c r="N54" s="407"/>
      <c r="O54" s="407"/>
      <c r="P54" s="407"/>
      <c r="Q54" s="407"/>
      <c r="R54" s="407"/>
      <c r="S54" s="407"/>
      <c r="T54" s="407"/>
      <c r="U54" s="407"/>
      <c r="V54" s="407"/>
      <c r="W54" s="407"/>
      <c r="X54" s="407"/>
      <c r="Y54" s="407"/>
      <c r="Z54" s="407"/>
      <c r="AA54" s="407"/>
      <c r="AB54" s="407"/>
      <c r="AC54" s="407"/>
      <c r="AD54" s="407"/>
      <c r="AE54" s="407">
        <f>AE53-AE55</f>
        <v>-135529</v>
      </c>
      <c r="AF54" s="407">
        <f t="shared" ref="AF54:AS54" si="47">AF53-AF55</f>
        <v>-135529</v>
      </c>
      <c r="AG54" s="407">
        <f t="shared" si="47"/>
        <v>-7354</v>
      </c>
      <c r="AH54" s="407">
        <f t="shared" si="47"/>
        <v>-142883</v>
      </c>
      <c r="AI54" s="407">
        <f t="shared" si="47"/>
        <v>-225957</v>
      </c>
      <c r="AJ54" s="407">
        <f t="shared" si="47"/>
        <v>-368840</v>
      </c>
      <c r="AK54" s="407">
        <f t="shared" si="47"/>
        <v>138590</v>
      </c>
      <c r="AL54" s="407">
        <f t="shared" si="47"/>
        <v>122158</v>
      </c>
      <c r="AM54" s="407">
        <f t="shared" si="47"/>
        <v>260748</v>
      </c>
      <c r="AN54" s="407">
        <f t="shared" si="47"/>
        <v>79637</v>
      </c>
      <c r="AO54" s="407">
        <f t="shared" si="47"/>
        <v>340385</v>
      </c>
      <c r="AP54" s="407">
        <f t="shared" si="47"/>
        <v>-63176</v>
      </c>
      <c r="AQ54" s="407">
        <f t="shared" si="47"/>
        <v>277209</v>
      </c>
      <c r="AR54" s="407">
        <f t="shared" si="47"/>
        <v>240704.10223832159</v>
      </c>
      <c r="AS54" s="407">
        <f t="shared" si="47"/>
        <v>44882.897761678418</v>
      </c>
      <c r="AT54" s="407">
        <f>AS54+AR54</f>
        <v>285587</v>
      </c>
    </row>
    <row r="55" spans="2:46" s="404" customFormat="1" ht="15" customHeight="1">
      <c r="B55" s="403" t="s">
        <v>1269</v>
      </c>
      <c r="C55" s="405"/>
      <c r="D55" s="406"/>
      <c r="E55" s="405"/>
      <c r="F55" s="407"/>
      <c r="G55" s="407"/>
      <c r="H55" s="407"/>
      <c r="I55" s="407"/>
      <c r="J55" s="407"/>
      <c r="K55" s="407"/>
      <c r="L55" s="407"/>
      <c r="M55" s="407"/>
      <c r="N55" s="407"/>
      <c r="O55" s="407"/>
      <c r="P55" s="407"/>
      <c r="Q55" s="407"/>
      <c r="R55" s="407"/>
      <c r="S55" s="407"/>
      <c r="T55" s="407"/>
      <c r="U55" s="407"/>
      <c r="V55" s="407"/>
      <c r="W55" s="407"/>
      <c r="X55" s="407"/>
      <c r="Y55" s="407"/>
      <c r="Z55" s="407"/>
      <c r="AA55" s="407"/>
      <c r="AB55" s="407"/>
      <c r="AC55" s="407"/>
      <c r="AD55" s="407"/>
      <c r="AE55" s="407">
        <v>0</v>
      </c>
      <c r="AF55" s="407">
        <v>0</v>
      </c>
      <c r="AG55" s="407">
        <v>0</v>
      </c>
      <c r="AH55" s="407">
        <v>0</v>
      </c>
      <c r="AI55" s="407">
        <v>0</v>
      </c>
      <c r="AJ55" s="407">
        <v>0</v>
      </c>
      <c r="AK55" s="407">
        <v>0</v>
      </c>
      <c r="AL55" s="407">
        <v>27920</v>
      </c>
      <c r="AM55" s="407">
        <f>SUM(AK55:AL55)</f>
        <v>27920</v>
      </c>
      <c r="AN55" s="407">
        <v>0</v>
      </c>
      <c r="AO55" s="407">
        <f>SUM(AM55:AN55)</f>
        <v>27920</v>
      </c>
      <c r="AP55" s="407">
        <v>46993</v>
      </c>
      <c r="AQ55" s="407">
        <f>SUM(AO55:AP55)</f>
        <v>74913</v>
      </c>
      <c r="AR55" s="407">
        <v>24950.897761678418</v>
      </c>
      <c r="AS55" s="407">
        <v>54639.102238321582</v>
      </c>
      <c r="AT55" s="407">
        <f>AS55+AR55</f>
        <v>79590</v>
      </c>
    </row>
    <row r="56" spans="2:46" ht="15" customHeight="1">
      <c r="B56" s="10" t="s">
        <v>1110</v>
      </c>
      <c r="C56" s="1"/>
      <c r="D56" s="10"/>
      <c r="E56" s="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3">
        <v>2341</v>
      </c>
      <c r="AF56" s="13">
        <v>-9062</v>
      </c>
      <c r="AG56" s="13">
        <v>15288</v>
      </c>
      <c r="AH56" s="13">
        <v>6226</v>
      </c>
      <c r="AI56" s="13">
        <v>-5933</v>
      </c>
      <c r="AJ56" s="13">
        <v>293</v>
      </c>
      <c r="AK56" s="13">
        <v>2211</v>
      </c>
      <c r="AL56" s="13">
        <v>3133</v>
      </c>
      <c r="AM56" s="13">
        <v>5344</v>
      </c>
      <c r="AN56" s="13">
        <v>-5954</v>
      </c>
      <c r="AO56" s="13">
        <v>-610</v>
      </c>
      <c r="AP56" s="13">
        <v>15284</v>
      </c>
      <c r="AQ56" s="13">
        <v>14674</v>
      </c>
      <c r="AR56" s="13">
        <v>-112379</v>
      </c>
      <c r="AS56" s="13">
        <v>18423</v>
      </c>
      <c r="AT56" s="13">
        <f t="shared" si="46"/>
        <v>-93956</v>
      </c>
    </row>
    <row r="57" spans="2:46" s="404" customFormat="1" ht="15" customHeight="1">
      <c r="B57" s="403" t="s">
        <v>1270</v>
      </c>
      <c r="C57" s="405"/>
      <c r="D57" s="406"/>
      <c r="E57" s="405"/>
      <c r="F57" s="407"/>
      <c r="G57" s="407"/>
      <c r="H57" s="407"/>
      <c r="I57" s="407"/>
      <c r="J57" s="407"/>
      <c r="K57" s="407"/>
      <c r="L57" s="407"/>
      <c r="M57" s="407"/>
      <c r="N57" s="407"/>
      <c r="O57" s="407"/>
      <c r="P57" s="407"/>
      <c r="Q57" s="407"/>
      <c r="R57" s="407"/>
      <c r="S57" s="407"/>
      <c r="T57" s="407"/>
      <c r="U57" s="407"/>
      <c r="V57" s="407"/>
      <c r="W57" s="407"/>
      <c r="X57" s="407"/>
      <c r="Y57" s="407"/>
      <c r="Z57" s="407"/>
      <c r="AA57" s="407"/>
      <c r="AB57" s="407"/>
      <c r="AC57" s="407"/>
      <c r="AD57" s="407"/>
      <c r="AE57" s="407">
        <f>AE56-AE58</f>
        <v>2668</v>
      </c>
      <c r="AF57" s="407">
        <f t="shared" ref="AF57:AL57" si="48">AF56-AF58</f>
        <v>-8735</v>
      </c>
      <c r="AG57" s="407">
        <f t="shared" si="48"/>
        <v>15288</v>
      </c>
      <c r="AH57" s="407">
        <f t="shared" si="48"/>
        <v>6553</v>
      </c>
      <c r="AI57" s="407">
        <f t="shared" si="48"/>
        <v>-5933</v>
      </c>
      <c r="AJ57" s="407">
        <f t="shared" si="48"/>
        <v>620</v>
      </c>
      <c r="AK57" s="407">
        <f t="shared" si="48"/>
        <v>2211</v>
      </c>
      <c r="AL57" s="407">
        <f t="shared" si="48"/>
        <v>2423</v>
      </c>
      <c r="AM57" s="407">
        <f>AM56-AM58</f>
        <v>4634</v>
      </c>
      <c r="AN57" s="407">
        <f t="shared" ref="AN57:AQ57" si="49">AN56-AN58</f>
        <v>-5954</v>
      </c>
      <c r="AO57" s="407">
        <f t="shared" si="49"/>
        <v>-1320</v>
      </c>
      <c r="AP57" s="407">
        <f t="shared" si="49"/>
        <v>16703</v>
      </c>
      <c r="AQ57" s="407">
        <f t="shared" si="49"/>
        <v>15383</v>
      </c>
      <c r="AR57" s="407">
        <f>AR56-AR58</f>
        <v>-93060</v>
      </c>
      <c r="AS57" s="407">
        <f>AS56-AS58</f>
        <v>68425</v>
      </c>
      <c r="AT57" s="407">
        <f t="shared" si="46"/>
        <v>-24635</v>
      </c>
    </row>
    <row r="58" spans="2:46" s="404" customFormat="1" ht="15" customHeight="1">
      <c r="B58" s="403" t="s">
        <v>1271</v>
      </c>
      <c r="C58" s="405"/>
      <c r="D58" s="406"/>
      <c r="E58" s="405"/>
      <c r="F58" s="407"/>
      <c r="G58" s="407"/>
      <c r="H58" s="407"/>
      <c r="I58" s="407"/>
      <c r="J58" s="407"/>
      <c r="K58" s="407"/>
      <c r="L58" s="407"/>
      <c r="M58" s="407"/>
      <c r="N58" s="407"/>
      <c r="O58" s="407"/>
      <c r="P58" s="407"/>
      <c r="Q58" s="407"/>
      <c r="R58" s="407"/>
      <c r="S58" s="407"/>
      <c r="T58" s="407"/>
      <c r="U58" s="407"/>
      <c r="V58" s="407"/>
      <c r="W58" s="407"/>
      <c r="X58" s="407"/>
      <c r="Y58" s="407"/>
      <c r="Z58" s="407"/>
      <c r="AA58" s="407"/>
      <c r="AB58" s="407"/>
      <c r="AC58" s="407"/>
      <c r="AD58" s="407"/>
      <c r="AE58" s="407">
        <v>-327</v>
      </c>
      <c r="AF58" s="407">
        <f>AE58</f>
        <v>-327</v>
      </c>
      <c r="AG58" s="407">
        <v>0</v>
      </c>
      <c r="AH58" s="407">
        <f>AF58</f>
        <v>-327</v>
      </c>
      <c r="AI58" s="407">
        <v>0</v>
      </c>
      <c r="AJ58" s="407">
        <f>AF58</f>
        <v>-327</v>
      </c>
      <c r="AK58" s="407">
        <v>0</v>
      </c>
      <c r="AL58" s="407">
        <v>710</v>
      </c>
      <c r="AM58" s="407">
        <f>SUM(AK58:AL58)</f>
        <v>710</v>
      </c>
      <c r="AN58" s="407">
        <v>0</v>
      </c>
      <c r="AO58" s="407">
        <f>SUM(AM58:AN58)</f>
        <v>710</v>
      </c>
      <c r="AP58" s="407">
        <f>-1419</f>
        <v>-1419</v>
      </c>
      <c r="AQ58" s="407">
        <f>SUM(AO58:AP58)</f>
        <v>-709</v>
      </c>
      <c r="AR58" s="407">
        <v>-19319</v>
      </c>
      <c r="AS58" s="407">
        <v>-50002</v>
      </c>
      <c r="AT58" s="407">
        <f t="shared" si="46"/>
        <v>-69321</v>
      </c>
    </row>
    <row r="59" spans="2:46" ht="16.5" customHeight="1">
      <c r="B59" s="10"/>
      <c r="C59" s="1"/>
      <c r="D59" s="10"/>
      <c r="E59" s="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3"/>
      <c r="AG59" s="11"/>
      <c r="AH59" s="11"/>
      <c r="AI59" s="11"/>
      <c r="AJ59" s="11"/>
      <c r="AK59" s="11"/>
      <c r="AL59" s="11"/>
      <c r="AM59" s="11"/>
      <c r="AN59" s="11"/>
      <c r="AO59" s="11"/>
      <c r="AP59" s="11"/>
      <c r="AQ59" s="11"/>
      <c r="AR59" s="11"/>
      <c r="AS59" s="11"/>
      <c r="AT59" s="11"/>
    </row>
    <row r="60" spans="2:46" ht="16.5" customHeight="1" thickBot="1">
      <c r="B60" s="249" t="s">
        <v>1111</v>
      </c>
      <c r="C60" s="249"/>
      <c r="D60" s="249"/>
      <c r="E60" s="249"/>
      <c r="F60" s="249"/>
      <c r="G60" s="249"/>
      <c r="H60" s="249"/>
      <c r="I60" s="249"/>
      <c r="J60" s="249"/>
      <c r="K60" s="249"/>
      <c r="L60" s="249"/>
      <c r="M60" s="249"/>
      <c r="N60" s="249"/>
      <c r="O60" s="249"/>
      <c r="P60" s="249"/>
      <c r="Q60" s="249"/>
      <c r="R60" s="249"/>
      <c r="S60" s="249"/>
      <c r="T60" s="249"/>
      <c r="U60" s="249"/>
      <c r="V60" s="249"/>
      <c r="W60" s="249"/>
      <c r="X60" s="249"/>
      <c r="Y60" s="249"/>
      <c r="Z60" s="249"/>
      <c r="AA60" s="249"/>
      <c r="AB60" s="249"/>
      <c r="AC60" s="249"/>
      <c r="AD60" s="249"/>
      <c r="AE60" s="250">
        <v>-133188</v>
      </c>
      <c r="AF60" s="250">
        <v>-144591</v>
      </c>
      <c r="AG60" s="250">
        <v>7934</v>
      </c>
      <c r="AH60" s="250">
        <v>-136657</v>
      </c>
      <c r="AI60" s="250">
        <v>-231890</v>
      </c>
      <c r="AJ60" s="250">
        <v>-368547</v>
      </c>
      <c r="AK60" s="250">
        <v>140801</v>
      </c>
      <c r="AL60" s="250">
        <v>153211</v>
      </c>
      <c r="AM60" s="250">
        <v>294012</v>
      </c>
      <c r="AN60" s="250">
        <v>73683</v>
      </c>
      <c r="AO60" s="250">
        <v>367695</v>
      </c>
      <c r="AP60" s="250">
        <v>-899</v>
      </c>
      <c r="AQ60" s="250">
        <v>366796</v>
      </c>
      <c r="AR60" s="250">
        <v>153276</v>
      </c>
      <c r="AS60" s="250">
        <v>117945</v>
      </c>
      <c r="AT60" s="250">
        <v>271221</v>
      </c>
    </row>
    <row r="61" spans="2:46" ht="13.5" thickBot="1">
      <c r="B61" s="28" t="s">
        <v>48</v>
      </c>
      <c r="C61" s="27"/>
      <c r="D61" s="28" t="s">
        <v>713</v>
      </c>
      <c r="E61" s="27"/>
      <c r="F61" s="40">
        <v>-894</v>
      </c>
      <c r="G61" s="40">
        <v>11392</v>
      </c>
      <c r="H61" s="40">
        <v>-256891</v>
      </c>
      <c r="I61" s="40">
        <v>-85454</v>
      </c>
      <c r="J61" s="40">
        <v>-53788</v>
      </c>
      <c r="K61" s="40">
        <v>46676</v>
      </c>
      <c r="L61" s="40">
        <v>-349457</v>
      </c>
      <c r="M61" s="40">
        <v>-94785</v>
      </c>
      <c r="N61" s="40">
        <v>63670</v>
      </c>
      <c r="O61" s="40">
        <v>-21140</v>
      </c>
      <c r="P61" s="40">
        <v>1266</v>
      </c>
      <c r="Q61" s="40">
        <v>-50989</v>
      </c>
      <c r="R61" s="40">
        <v>185855</v>
      </c>
      <c r="S61" s="40">
        <v>-126853</v>
      </c>
      <c r="T61" s="40">
        <f t="shared" ref="T61:Y61" si="50">SUM(T47:T49)</f>
        <v>-45488</v>
      </c>
      <c r="U61" s="40">
        <f t="shared" si="50"/>
        <v>52886</v>
      </c>
      <c r="V61" s="40">
        <f t="shared" si="50"/>
        <v>66400</v>
      </c>
      <c r="W61" s="40">
        <f t="shared" si="50"/>
        <v>6301</v>
      </c>
      <c r="X61" s="40">
        <f t="shared" si="50"/>
        <v>55392</v>
      </c>
      <c r="Y61" s="40">
        <f t="shared" si="50"/>
        <v>61693</v>
      </c>
      <c r="Z61" s="40">
        <f>SUM(Z47:Z49)</f>
        <v>-48395</v>
      </c>
      <c r="AA61" s="40">
        <f>SUM(AA47:AA49)</f>
        <v>13298</v>
      </c>
      <c r="AB61" s="40">
        <f>SUM(AB47:AB49)</f>
        <v>35714</v>
      </c>
      <c r="AC61" s="40">
        <f>SUM(AC47:AC49)</f>
        <v>49012</v>
      </c>
      <c r="AD61" s="40">
        <f>SUM(AD47:AD49)</f>
        <v>-70978</v>
      </c>
      <c r="AE61" s="40">
        <f>SUM(AE47:AE49,AE60)</f>
        <v>-216252</v>
      </c>
      <c r="AF61" s="40">
        <f>SUM(AF47:AF49,AF60)</f>
        <v>-287230</v>
      </c>
      <c r="AG61" s="40">
        <f>SUM(AG47:AG49,AG60)</f>
        <v>-40324</v>
      </c>
      <c r="AH61" s="40">
        <f>SUM(AH47:AH49,AH60)</f>
        <v>-327554</v>
      </c>
      <c r="AI61" s="40">
        <f t="shared" ref="AI61:AN61" si="51">AI60+AI48+AI47+AI49</f>
        <v>-257261</v>
      </c>
      <c r="AJ61" s="40">
        <f t="shared" si="51"/>
        <v>-584815</v>
      </c>
      <c r="AK61" s="40">
        <f t="shared" si="51"/>
        <v>48997</v>
      </c>
      <c r="AL61" s="40">
        <f t="shared" si="51"/>
        <v>75421</v>
      </c>
      <c r="AM61" s="40">
        <f t="shared" si="51"/>
        <v>124418</v>
      </c>
      <c r="AN61" s="40">
        <f t="shared" si="51"/>
        <v>-8980</v>
      </c>
      <c r="AO61" s="40">
        <f>AO60+AO48+AO47+AO49</f>
        <v>115438</v>
      </c>
      <c r="AP61" s="40">
        <f>AP60+AP48+AP47+AP49</f>
        <v>-60823</v>
      </c>
      <c r="AQ61" s="40">
        <f>AQ60+AQ48+AQ47+AQ49</f>
        <v>54615</v>
      </c>
      <c r="AR61" s="40">
        <v>-1042</v>
      </c>
      <c r="AS61" s="40">
        <f>AS60+AS48+AS47+AS49</f>
        <v>10781</v>
      </c>
      <c r="AT61" s="40">
        <f>AT60+AT48+AT47+AT49</f>
        <v>9739</v>
      </c>
    </row>
    <row r="62" spans="2:46" ht="13.5" thickBot="1"/>
    <row r="63" spans="2:46" ht="13.5" thickBot="1">
      <c r="B63" s="28" t="s">
        <v>97</v>
      </c>
      <c r="C63" s="27"/>
      <c r="D63" s="28" t="s">
        <v>623</v>
      </c>
      <c r="E63" s="27"/>
      <c r="F63" s="41">
        <v>88694</v>
      </c>
      <c r="G63" s="41">
        <v>71838</v>
      </c>
      <c r="H63" s="41">
        <v>-204832</v>
      </c>
      <c r="I63" s="41">
        <v>-19594</v>
      </c>
      <c r="J63" s="41">
        <v>13266</v>
      </c>
      <c r="K63" s="41">
        <v>93523</v>
      </c>
      <c r="L63" s="41">
        <v>-117637</v>
      </c>
      <c r="M63" s="41">
        <v>-24205</v>
      </c>
      <c r="N63" s="41">
        <v>126643</v>
      </c>
      <c r="O63" s="41">
        <v>35798</v>
      </c>
      <c r="P63" s="41">
        <v>95381</v>
      </c>
      <c r="Q63" s="41">
        <v>233617</v>
      </c>
      <c r="R63" s="41">
        <v>530662</v>
      </c>
      <c r="S63" s="41">
        <v>167910</v>
      </c>
      <c r="T63" s="41">
        <f t="shared" ref="T63:Y63" si="52">T44+T61</f>
        <v>265365</v>
      </c>
      <c r="U63" s="41">
        <f t="shared" si="52"/>
        <v>360663</v>
      </c>
      <c r="V63" s="41">
        <f t="shared" si="52"/>
        <v>1324600</v>
      </c>
      <c r="W63" s="41">
        <f t="shared" si="52"/>
        <v>237214</v>
      </c>
      <c r="X63" s="41">
        <f t="shared" si="52"/>
        <v>229444</v>
      </c>
      <c r="Y63" s="41">
        <f t="shared" si="52"/>
        <v>466658</v>
      </c>
      <c r="Z63" s="41">
        <f>Z44+Z61</f>
        <v>146517</v>
      </c>
      <c r="AA63" s="41">
        <f>AA44+AA61</f>
        <v>613175</v>
      </c>
      <c r="AB63" s="41">
        <f>AB44+AB61</f>
        <v>115654</v>
      </c>
      <c r="AC63" s="41">
        <f>AC44+AC61</f>
        <v>728829</v>
      </c>
      <c r="AD63" s="41">
        <f>AD44+AD61</f>
        <v>128512</v>
      </c>
      <c r="AE63" s="41">
        <f t="shared" ref="AE63" si="53">AE44+AE61</f>
        <v>52848.798220000113</v>
      </c>
      <c r="AF63" s="41">
        <f t="shared" ref="AF63:AJ63" si="54">AF44+AF61</f>
        <v>181360.79821999988</v>
      </c>
      <c r="AG63" s="41">
        <f t="shared" si="54"/>
        <v>196080.39941000007</v>
      </c>
      <c r="AH63" s="41">
        <f t="shared" si="54"/>
        <v>377441.1976300003</v>
      </c>
      <c r="AI63" s="41">
        <f t="shared" si="54"/>
        <v>-14036.197630000068</v>
      </c>
      <c r="AJ63" s="41">
        <f t="shared" si="54"/>
        <v>363405</v>
      </c>
      <c r="AK63" s="41">
        <f t="shared" ref="AK63:AL63" si="55">AK44+AK61</f>
        <v>308761.78535000002</v>
      </c>
      <c r="AL63" s="41">
        <f t="shared" si="55"/>
        <v>253826.9559399999</v>
      </c>
      <c r="AM63" s="41">
        <f t="shared" ref="AM63:AN63" si="56">AM44+AM61</f>
        <v>562588.74129000003</v>
      </c>
      <c r="AN63" s="41">
        <f t="shared" si="56"/>
        <v>148623.80420999997</v>
      </c>
      <c r="AO63" s="41">
        <f t="shared" ref="AO63:AP63" si="57">AO44+AO61</f>
        <v>711212.54550000001</v>
      </c>
      <c r="AP63" s="41">
        <f t="shared" si="57"/>
        <v>64982.09236000001</v>
      </c>
      <c r="AQ63" s="41">
        <f t="shared" ref="AQ63" si="58">AQ44+AQ61</f>
        <v>776194</v>
      </c>
      <c r="AR63" s="41">
        <v>149052</v>
      </c>
      <c r="AS63" s="41">
        <f t="shared" ref="AS63:AT63" si="59">AS44+AS61</f>
        <v>233837</v>
      </c>
      <c r="AT63" s="41">
        <f t="shared" si="59"/>
        <v>382889</v>
      </c>
    </row>
    <row r="64" spans="2:46" s="38" customFormat="1">
      <c r="B64" s="34"/>
      <c r="C64" s="36"/>
      <c r="D64" s="34"/>
      <c r="E64" s="36"/>
      <c r="F64" s="37"/>
      <c r="G64" s="37"/>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c r="AM64" s="37"/>
      <c r="AN64" s="37"/>
      <c r="AO64" s="37"/>
      <c r="AP64" s="37"/>
      <c r="AQ64" s="37"/>
      <c r="AR64" s="37"/>
      <c r="AS64" s="37"/>
      <c r="AT64" s="37"/>
    </row>
    <row r="65" spans="2:46">
      <c r="B65" s="7" t="s">
        <v>52</v>
      </c>
      <c r="C65" s="1"/>
      <c r="D65" s="7" t="s">
        <v>624</v>
      </c>
      <c r="E65" s="1"/>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row>
    <row r="66" spans="2:46">
      <c r="B66" s="10" t="s">
        <v>49</v>
      </c>
      <c r="C66" s="1"/>
      <c r="D66" s="10" t="s">
        <v>625</v>
      </c>
      <c r="E66" s="1"/>
      <c r="F66" s="13">
        <v>-35290</v>
      </c>
      <c r="G66" s="13">
        <v>-22793</v>
      </c>
      <c r="H66" s="13">
        <v>-7384</v>
      </c>
      <c r="I66" s="13">
        <v>-5286</v>
      </c>
      <c r="J66" s="13">
        <v>-2783</v>
      </c>
      <c r="K66" s="13">
        <v>172</v>
      </c>
      <c r="L66" s="13">
        <v>-15281</v>
      </c>
      <c r="M66" s="13">
        <v>-4459</v>
      </c>
      <c r="N66" s="13">
        <v>-32958</v>
      </c>
      <c r="O66" s="13">
        <v>-14826</v>
      </c>
      <c r="P66" s="13">
        <v>-21930</v>
      </c>
      <c r="Q66" s="13">
        <v>-74173</v>
      </c>
      <c r="R66" s="13">
        <v>-88112</v>
      </c>
      <c r="S66" s="13">
        <v>-71837</v>
      </c>
      <c r="T66" s="13">
        <v>-122224</v>
      </c>
      <c r="U66" s="13">
        <v>-46968</v>
      </c>
      <c r="V66" s="13">
        <v>-329141</v>
      </c>
      <c r="W66" s="13">
        <v>-90439</v>
      </c>
      <c r="X66" s="13">
        <v>-8518</v>
      </c>
      <c r="Y66" s="13">
        <v>-98957</v>
      </c>
      <c r="Z66" s="13">
        <v>-11876</v>
      </c>
      <c r="AA66" s="13">
        <v>-110833</v>
      </c>
      <c r="AB66" s="13">
        <v>34671</v>
      </c>
      <c r="AC66" s="13">
        <v>-76162</v>
      </c>
      <c r="AD66" s="13">
        <v>-8061</v>
      </c>
      <c r="AE66" s="13">
        <v>4621</v>
      </c>
      <c r="AF66" s="13">
        <f>AE66+AD66</f>
        <v>-3440</v>
      </c>
      <c r="AG66" s="13">
        <v>-4316</v>
      </c>
      <c r="AH66" s="13">
        <v>-7756</v>
      </c>
      <c r="AI66" s="13">
        <v>-3432</v>
      </c>
      <c r="AJ66" s="13">
        <v>-11188</v>
      </c>
      <c r="AK66" s="13">
        <v>-6552</v>
      </c>
      <c r="AL66" s="13">
        <v>-3713</v>
      </c>
      <c r="AM66" s="13">
        <v>-10265</v>
      </c>
      <c r="AN66" s="13">
        <v>-1382</v>
      </c>
      <c r="AO66" s="13">
        <v>-11647</v>
      </c>
      <c r="AP66" s="13">
        <v>-1989</v>
      </c>
      <c r="AQ66" s="13">
        <v>-13636</v>
      </c>
      <c r="AR66" s="13">
        <v>-2559</v>
      </c>
      <c r="AS66" s="13">
        <v>-6368</v>
      </c>
      <c r="AT66" s="13">
        <f t="shared" ref="AT66:AT67" si="60">AS66+AR66</f>
        <v>-8927</v>
      </c>
    </row>
    <row r="67" spans="2:46">
      <c r="B67" s="10" t="s">
        <v>50</v>
      </c>
      <c r="C67" s="1"/>
      <c r="D67" s="10" t="s">
        <v>626</v>
      </c>
      <c r="E67" s="1"/>
      <c r="F67" s="13">
        <v>1904</v>
      </c>
      <c r="G67" s="13">
        <v>6363</v>
      </c>
      <c r="H67" s="13">
        <v>76145</v>
      </c>
      <c r="I67" s="13">
        <v>9754</v>
      </c>
      <c r="J67" s="13">
        <v>-4141</v>
      </c>
      <c r="K67" s="13">
        <v>-30599</v>
      </c>
      <c r="L67" s="13">
        <v>51159</v>
      </c>
      <c r="M67" s="13">
        <v>13478</v>
      </c>
      <c r="N67" s="13">
        <v>-14091</v>
      </c>
      <c r="O67" s="13">
        <v>797</v>
      </c>
      <c r="P67" s="13">
        <v>-10249</v>
      </c>
      <c r="Q67" s="13">
        <v>-10065</v>
      </c>
      <c r="R67" s="13">
        <v>-77737</v>
      </c>
      <c r="S67" s="13">
        <v>7543</v>
      </c>
      <c r="T67" s="13">
        <v>27658</v>
      </c>
      <c r="U67" s="13">
        <v>573</v>
      </c>
      <c r="V67" s="13">
        <v>-41963</v>
      </c>
      <c r="W67" s="13">
        <v>7767</v>
      </c>
      <c r="X67" s="13">
        <v>-58622</v>
      </c>
      <c r="Y67" s="13">
        <v>-50855</v>
      </c>
      <c r="Z67" s="13">
        <v>-33042</v>
      </c>
      <c r="AA67" s="13">
        <v>-83897</v>
      </c>
      <c r="AB67" s="13">
        <v>96672</v>
      </c>
      <c r="AC67" s="13">
        <v>12775</v>
      </c>
      <c r="AD67" s="13">
        <v>-10418</v>
      </c>
      <c r="AE67" s="13">
        <v>78711</v>
      </c>
      <c r="AF67" s="13">
        <f>AE67+AD67</f>
        <v>68293</v>
      </c>
      <c r="AG67" s="13">
        <v>-32924</v>
      </c>
      <c r="AH67" s="13">
        <v>35369</v>
      </c>
      <c r="AI67" s="13">
        <v>49912</v>
      </c>
      <c r="AJ67" s="13">
        <v>85281</v>
      </c>
      <c r="AK67" s="13">
        <v>-74681</v>
      </c>
      <c r="AL67" s="13">
        <v>-11974</v>
      </c>
      <c r="AM67" s="13">
        <v>-86655</v>
      </c>
      <c r="AN67" s="13">
        <v>-25305</v>
      </c>
      <c r="AO67" s="13">
        <v>-111960</v>
      </c>
      <c r="AP67" s="13">
        <v>-12246</v>
      </c>
      <c r="AQ67" s="13">
        <v>-124206</v>
      </c>
      <c r="AR67" s="13">
        <v>-22696</v>
      </c>
      <c r="AS67" s="13">
        <v>-24786</v>
      </c>
      <c r="AT67" s="13">
        <f t="shared" si="60"/>
        <v>-47482</v>
      </c>
    </row>
    <row r="68" spans="2:46">
      <c r="B68" s="10"/>
      <c r="C68" s="1"/>
      <c r="D68" s="10"/>
      <c r="E68" s="1"/>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row>
    <row r="69" spans="2:46" ht="4.5" customHeight="1" thickBot="1">
      <c r="B69" s="10"/>
      <c r="C69" s="1"/>
      <c r="D69" s="10"/>
      <c r="E69" s="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2:46" ht="13.5" thickBot="1">
      <c r="B70" s="28" t="s">
        <v>96</v>
      </c>
      <c r="C70" s="27"/>
      <c r="D70" s="28" t="s">
        <v>627</v>
      </c>
      <c r="E70" s="27"/>
      <c r="F70" s="40">
        <v>-15745</v>
      </c>
      <c r="G70" s="40">
        <v>-8156</v>
      </c>
      <c r="H70" s="40">
        <v>68791</v>
      </c>
      <c r="I70" s="40">
        <v>4438</v>
      </c>
      <c r="J70" s="40">
        <v>-6924</v>
      </c>
      <c r="K70" s="40">
        <v>-30427</v>
      </c>
      <c r="L70" s="40">
        <v>35878</v>
      </c>
      <c r="M70" s="40">
        <v>11315</v>
      </c>
      <c r="N70" s="40">
        <v>-32077</v>
      </c>
      <c r="O70" s="40">
        <v>-12872</v>
      </c>
      <c r="P70" s="40">
        <v>-23084</v>
      </c>
      <c r="Q70" s="40">
        <v>-56718</v>
      </c>
      <c r="R70" s="40">
        <v>-128824</v>
      </c>
      <c r="S70" s="40">
        <v>-36879</v>
      </c>
      <c r="T70" s="40">
        <f t="shared" ref="T70:Y70" si="61">SUM(T66:T68)</f>
        <v>-94566</v>
      </c>
      <c r="U70" s="40">
        <f t="shared" si="61"/>
        <v>-46395</v>
      </c>
      <c r="V70" s="40">
        <f t="shared" si="61"/>
        <v>-371104</v>
      </c>
      <c r="W70" s="40">
        <f t="shared" si="61"/>
        <v>-82672</v>
      </c>
      <c r="X70" s="40">
        <f t="shared" si="61"/>
        <v>-67140</v>
      </c>
      <c r="Y70" s="40">
        <f t="shared" si="61"/>
        <v>-149812</v>
      </c>
      <c r="Z70" s="40">
        <f>SUM(Z66:Z68)</f>
        <v>-44918</v>
      </c>
      <c r="AA70" s="40">
        <f>SUM(AA66:AA68)</f>
        <v>-194730</v>
      </c>
      <c r="AB70" s="40">
        <f>SUM(AB66:AB68)</f>
        <v>131343</v>
      </c>
      <c r="AC70" s="40">
        <f>SUM(AC66:AC68)</f>
        <v>-63387</v>
      </c>
      <c r="AD70" s="40">
        <f>SUM(AD66:AD68)</f>
        <v>-18479</v>
      </c>
      <c r="AE70" s="40">
        <f t="shared" ref="AE70" si="62">SUM(AE66:AE68)</f>
        <v>83332</v>
      </c>
      <c r="AF70" s="40">
        <f t="shared" ref="AF70:AJ70" si="63">SUM(AF66:AF68)</f>
        <v>64853</v>
      </c>
      <c r="AG70" s="40">
        <f t="shared" si="63"/>
        <v>-37240</v>
      </c>
      <c r="AH70" s="40">
        <f t="shared" si="63"/>
        <v>27613</v>
      </c>
      <c r="AI70" s="40">
        <f t="shared" si="63"/>
        <v>46480</v>
      </c>
      <c r="AJ70" s="40">
        <f t="shared" si="63"/>
        <v>74093</v>
      </c>
      <c r="AK70" s="40">
        <f t="shared" ref="AK70:AL70" si="64">SUM(AK66:AK68)</f>
        <v>-81233</v>
      </c>
      <c r="AL70" s="40">
        <f t="shared" si="64"/>
        <v>-15687</v>
      </c>
      <c r="AM70" s="40">
        <f t="shared" ref="AM70:AN70" si="65">SUM(AM66:AM68)</f>
        <v>-96920</v>
      </c>
      <c r="AN70" s="40">
        <f t="shared" si="65"/>
        <v>-26687</v>
      </c>
      <c r="AO70" s="40">
        <f t="shared" ref="AO70:AP70" si="66">SUM(AO66:AO68)</f>
        <v>-123607</v>
      </c>
      <c r="AP70" s="40">
        <f t="shared" si="66"/>
        <v>-14235</v>
      </c>
      <c r="AQ70" s="40">
        <f t="shared" ref="AQ70" si="67">SUM(AQ66:AQ68)</f>
        <v>-137842</v>
      </c>
      <c r="AR70" s="40">
        <v>-25255</v>
      </c>
      <c r="AS70" s="40">
        <f t="shared" ref="AS70:AT70" si="68">SUM(AS66:AS68)</f>
        <v>-31154</v>
      </c>
      <c r="AT70" s="40">
        <f t="shared" si="68"/>
        <v>-56409</v>
      </c>
    </row>
    <row r="71" spans="2:46" ht="13.5" thickBot="1">
      <c r="B71" s="10"/>
      <c r="C71" s="1"/>
      <c r="D71" s="10"/>
      <c r="E71" s="1"/>
    </row>
    <row r="72" spans="2:46" ht="13.5" thickBot="1">
      <c r="B72" s="28" t="s">
        <v>585</v>
      </c>
      <c r="C72" s="33"/>
      <c r="D72" s="28" t="s">
        <v>628</v>
      </c>
      <c r="E72" s="33"/>
      <c r="F72" s="41">
        <v>72949</v>
      </c>
      <c r="G72" s="41">
        <v>63682</v>
      </c>
      <c r="H72" s="41">
        <v>-136041</v>
      </c>
      <c r="I72" s="41">
        <v>-15156</v>
      </c>
      <c r="J72" s="41">
        <v>6342</v>
      </c>
      <c r="K72" s="41">
        <v>63096</v>
      </c>
      <c r="L72" s="41">
        <v>-81759</v>
      </c>
      <c r="M72" s="41">
        <v>-12890</v>
      </c>
      <c r="N72" s="41">
        <v>94566</v>
      </c>
      <c r="O72" s="41">
        <v>22926</v>
      </c>
      <c r="P72" s="41">
        <v>72297</v>
      </c>
      <c r="Q72" s="41">
        <v>176899</v>
      </c>
      <c r="R72" s="41">
        <v>401838</v>
      </c>
      <c r="S72" s="41">
        <v>131031</v>
      </c>
      <c r="T72" s="41">
        <f t="shared" ref="T72:Y72" si="69">T63+T70</f>
        <v>170799</v>
      </c>
      <c r="U72" s="41">
        <f t="shared" si="69"/>
        <v>314268</v>
      </c>
      <c r="V72" s="41">
        <f t="shared" si="69"/>
        <v>953496</v>
      </c>
      <c r="W72" s="41">
        <f t="shared" si="69"/>
        <v>154542</v>
      </c>
      <c r="X72" s="41">
        <f t="shared" si="69"/>
        <v>162304</v>
      </c>
      <c r="Y72" s="41">
        <f t="shared" si="69"/>
        <v>316846</v>
      </c>
      <c r="Z72" s="41">
        <f>Z63+Z70</f>
        <v>101599</v>
      </c>
      <c r="AA72" s="41">
        <f>AA63+AA70</f>
        <v>418445</v>
      </c>
      <c r="AB72" s="41">
        <f>AB63+AB70</f>
        <v>246997</v>
      </c>
      <c r="AC72" s="41">
        <f>AC63+AC70</f>
        <v>665442</v>
      </c>
      <c r="AD72" s="41">
        <f>AD63+AD70</f>
        <v>110033</v>
      </c>
      <c r="AE72" s="41">
        <f t="shared" ref="AE72" si="70">AE63+AE70</f>
        <v>136180.79822000011</v>
      </c>
      <c r="AF72" s="41">
        <f t="shared" ref="AF72:AJ72" si="71">AF63+AF70</f>
        <v>246213.79821999988</v>
      </c>
      <c r="AG72" s="41">
        <f t="shared" si="71"/>
        <v>158840.39941000007</v>
      </c>
      <c r="AH72" s="41">
        <f t="shared" si="71"/>
        <v>405054.1976300003</v>
      </c>
      <c r="AI72" s="41">
        <f t="shared" si="71"/>
        <v>32443.802369999932</v>
      </c>
      <c r="AJ72" s="41">
        <f t="shared" si="71"/>
        <v>437498</v>
      </c>
      <c r="AK72" s="41">
        <f t="shared" ref="AK72:AL72" si="72">AK63+AK70</f>
        <v>227528.78535000002</v>
      </c>
      <c r="AL72" s="41">
        <f t="shared" si="72"/>
        <v>238139.9559399999</v>
      </c>
      <c r="AM72" s="41">
        <f t="shared" ref="AM72:AN72" si="73">AM63+AM70</f>
        <v>465668.74129000003</v>
      </c>
      <c r="AN72" s="41">
        <f t="shared" si="73"/>
        <v>121936.80420999997</v>
      </c>
      <c r="AO72" s="41">
        <f>AO63+AO70</f>
        <v>587605.54550000001</v>
      </c>
      <c r="AP72" s="41">
        <f>AP63+AP70</f>
        <v>50747.09236000001</v>
      </c>
      <c r="AQ72" s="41">
        <f>AQ63+AQ70</f>
        <v>638352</v>
      </c>
      <c r="AR72" s="41">
        <v>123797</v>
      </c>
      <c r="AS72" s="41">
        <f>AS63+AS70</f>
        <v>202683</v>
      </c>
      <c r="AT72" s="41">
        <f>AT63+AT70</f>
        <v>326480</v>
      </c>
    </row>
    <row r="73" spans="2:46" hidden="1">
      <c r="B73" s="10"/>
      <c r="C73" s="1"/>
      <c r="E73" s="1"/>
      <c r="F73" s="13">
        <v>0</v>
      </c>
      <c r="G73" s="13">
        <v>0</v>
      </c>
      <c r="H73" s="13">
        <v>0</v>
      </c>
      <c r="I73" s="13">
        <v>0</v>
      </c>
      <c r="J73" s="13">
        <v>0</v>
      </c>
      <c r="K73" s="13">
        <v>0</v>
      </c>
      <c r="L73" s="13">
        <v>0</v>
      </c>
      <c r="M73" s="13">
        <v>0</v>
      </c>
      <c r="N73" s="13">
        <v>0</v>
      </c>
      <c r="O73" s="13">
        <v>0</v>
      </c>
      <c r="P73" s="13">
        <v>0</v>
      </c>
      <c r="Q73" s="13">
        <v>0</v>
      </c>
      <c r="R73" s="13">
        <v>0</v>
      </c>
      <c r="S73" s="13">
        <v>0</v>
      </c>
      <c r="T73" s="13">
        <v>0</v>
      </c>
      <c r="U73" s="13">
        <v>0</v>
      </c>
      <c r="V73" s="13">
        <v>0</v>
      </c>
      <c r="W73" s="13">
        <v>0</v>
      </c>
      <c r="X73" s="237">
        <v>0</v>
      </c>
      <c r="Y73" s="237">
        <v>0</v>
      </c>
      <c r="Z73" s="237">
        <v>0</v>
      </c>
      <c r="AA73" s="237">
        <v>0</v>
      </c>
      <c r="AB73" s="237">
        <v>0</v>
      </c>
      <c r="AC73" s="237">
        <v>0</v>
      </c>
      <c r="AD73" s="237">
        <v>0</v>
      </c>
      <c r="AE73" s="237"/>
      <c r="AF73" s="237"/>
      <c r="AG73" s="237"/>
      <c r="AH73" s="237"/>
      <c r="AI73" s="237"/>
      <c r="AJ73" s="237"/>
      <c r="AK73" s="237"/>
      <c r="AL73" s="237"/>
      <c r="AM73" s="237"/>
      <c r="AN73" s="237"/>
      <c r="AO73" s="237"/>
      <c r="AP73" s="237"/>
      <c r="AQ73" s="237"/>
      <c r="AR73" s="237"/>
      <c r="AS73" s="237"/>
      <c r="AT73" s="237"/>
    </row>
    <row r="74" spans="2:46">
      <c r="B74" s="1"/>
      <c r="F74" s="13"/>
      <c r="G74" s="13"/>
      <c r="H74" s="13"/>
      <c r="I74" s="13"/>
      <c r="J74" s="13"/>
      <c r="K74" s="13"/>
      <c r="L74" s="13"/>
      <c r="M74" s="13"/>
      <c r="N74" s="13"/>
      <c r="O74" s="13"/>
      <c r="P74" s="13"/>
      <c r="Q74" s="16"/>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row>
    <row r="75" spans="2:46">
      <c r="B75" s="10" t="s">
        <v>1128</v>
      </c>
      <c r="D75" s="3" t="s">
        <v>1226</v>
      </c>
      <c r="P75" s="13"/>
      <c r="AD75" s="13">
        <v>0</v>
      </c>
      <c r="AE75" s="13">
        <v>135529</v>
      </c>
      <c r="AF75" s="13">
        <v>135529</v>
      </c>
      <c r="AG75" s="13">
        <v>7354</v>
      </c>
      <c r="AH75" s="13">
        <v>142883</v>
      </c>
      <c r="AI75" s="13">
        <v>225957</v>
      </c>
      <c r="AJ75" s="13">
        <v>368840</v>
      </c>
      <c r="AK75" s="13">
        <v>-138590</v>
      </c>
      <c r="AL75" s="13">
        <v>-150078</v>
      </c>
      <c r="AM75" s="13">
        <v>-288668</v>
      </c>
      <c r="AN75" s="13">
        <v>-79637</v>
      </c>
      <c r="AO75" s="13">
        <v>-368305</v>
      </c>
      <c r="AP75" s="13">
        <v>16183</v>
      </c>
      <c r="AQ75" s="13">
        <v>-352122</v>
      </c>
      <c r="AR75" s="13">
        <v>-265655</v>
      </c>
      <c r="AS75" s="13">
        <v>-99522</v>
      </c>
      <c r="AT75" s="397">
        <f>AS75+AR75</f>
        <v>-365177</v>
      </c>
    </row>
    <row r="76" spans="2:46">
      <c r="P76" s="13"/>
      <c r="AT76" s="398"/>
    </row>
    <row r="77" spans="2:46">
      <c r="B77" s="3" t="s">
        <v>1129</v>
      </c>
      <c r="D77" s="3" t="s">
        <v>1225</v>
      </c>
      <c r="P77" s="13"/>
      <c r="AD77" s="13">
        <v>0</v>
      </c>
      <c r="AE77" s="13">
        <v>-46079.86</v>
      </c>
      <c r="AF77" s="13">
        <v>-46079.86</v>
      </c>
      <c r="AG77" s="13">
        <v>-2500.36</v>
      </c>
      <c r="AH77" s="13">
        <v>-48580.22</v>
      </c>
      <c r="AI77" s="13">
        <v>-76825.38</v>
      </c>
      <c r="AJ77" s="13">
        <v>-125405.6</v>
      </c>
      <c r="AK77" s="13">
        <v>47120.600000000006</v>
      </c>
      <c r="AL77" s="13">
        <v>51026.520000000004</v>
      </c>
      <c r="AM77" s="13">
        <v>98147.12000000001</v>
      </c>
      <c r="AN77" s="13">
        <v>27076.58</v>
      </c>
      <c r="AO77" s="13">
        <v>125223.70000000001</v>
      </c>
      <c r="AP77" s="13">
        <v>-5502.22</v>
      </c>
      <c r="AQ77" s="13">
        <v>119721.48000000001</v>
      </c>
      <c r="AR77" s="13">
        <v>90322.700000000012</v>
      </c>
      <c r="AS77" s="13">
        <v>33837.480000000003</v>
      </c>
      <c r="AT77" s="397">
        <f>AS77+AR77</f>
        <v>124160.18000000002</v>
      </c>
    </row>
    <row r="78" spans="2:46" ht="13.5" thickBot="1">
      <c r="P78" s="13"/>
    </row>
    <row r="79" spans="2:46" ht="13.5" thickBot="1">
      <c r="B79" s="262" t="s">
        <v>1130</v>
      </c>
      <c r="C79" s="262"/>
      <c r="D79" s="262" t="s">
        <v>1227</v>
      </c>
      <c r="E79" s="262"/>
      <c r="F79" s="262"/>
      <c r="G79" s="262"/>
      <c r="H79" s="262"/>
      <c r="I79" s="262"/>
      <c r="J79" s="262"/>
      <c r="K79" s="262"/>
      <c r="L79" s="262"/>
      <c r="M79" s="262"/>
      <c r="N79" s="262"/>
      <c r="O79" s="262"/>
      <c r="P79" s="262"/>
      <c r="Q79" s="262"/>
      <c r="R79" s="262"/>
      <c r="S79" s="262"/>
      <c r="T79" s="262"/>
      <c r="U79" s="262"/>
      <c r="V79" s="262"/>
      <c r="W79" s="262"/>
      <c r="X79" s="262"/>
      <c r="Y79" s="262"/>
      <c r="Z79" s="262"/>
      <c r="AA79" s="262"/>
      <c r="AB79" s="262"/>
      <c r="AC79" s="262"/>
      <c r="AD79" s="41">
        <v>0</v>
      </c>
      <c r="AE79" s="41">
        <v>225629.93822000013</v>
      </c>
      <c r="AF79" s="41">
        <v>335662.93821999989</v>
      </c>
      <c r="AG79" s="41">
        <v>163694.03941000008</v>
      </c>
      <c r="AH79" s="41">
        <v>499356.97762999986</v>
      </c>
      <c r="AI79" s="41">
        <v>181575.42237000004</v>
      </c>
      <c r="AJ79" s="41">
        <v>680932.4</v>
      </c>
      <c r="AK79" s="41">
        <v>136059.6</v>
      </c>
      <c r="AL79" s="41">
        <v>139087.52000000002</v>
      </c>
      <c r="AM79" s="41">
        <v>275147.12</v>
      </c>
      <c r="AN79" s="41">
        <v>69376.460860000036</v>
      </c>
      <c r="AO79" s="41">
        <v>344523.58085999993</v>
      </c>
      <c r="AP79" s="41">
        <v>61427.872360000008</v>
      </c>
      <c r="AQ79" s="41">
        <v>405951.48</v>
      </c>
      <c r="AR79" s="41">
        <v>-51535.299999999988</v>
      </c>
      <c r="AS79" s="41">
        <v>136998.48000000001</v>
      </c>
      <c r="AT79" s="41">
        <v>85463.18</v>
      </c>
    </row>
    <row r="80" spans="2:46">
      <c r="B80" s="1"/>
      <c r="L80" s="224"/>
      <c r="M80" s="224"/>
      <c r="N80" s="224"/>
      <c r="O80" s="224"/>
      <c r="P80" s="224"/>
      <c r="Q80" s="224"/>
      <c r="R80" s="224"/>
      <c r="S80" s="224"/>
      <c r="T80" s="224"/>
      <c r="U80" s="224"/>
      <c r="V80" s="224"/>
      <c r="W80" s="224"/>
      <c r="X80" s="224"/>
      <c r="Y80" s="224"/>
      <c r="Z80" s="224"/>
      <c r="AA80" s="224"/>
      <c r="AB80" s="224"/>
      <c r="AC80" s="224"/>
      <c r="AD80" s="224"/>
      <c r="AE80" s="224"/>
      <c r="AF80" s="224"/>
      <c r="AG80" s="224"/>
      <c r="AH80" s="224"/>
      <c r="AI80" s="224"/>
      <c r="AJ80" s="224"/>
    </row>
    <row r="81" spans="2:36">
      <c r="B81" s="1"/>
      <c r="L81" s="224"/>
      <c r="M81" s="224"/>
      <c r="N81" s="224"/>
      <c r="O81" s="224"/>
      <c r="P81" s="224"/>
      <c r="Q81" s="224"/>
      <c r="R81" s="224"/>
      <c r="S81" s="224"/>
      <c r="T81" s="224"/>
      <c r="U81" s="224"/>
      <c r="V81" s="224"/>
      <c r="W81" s="224"/>
      <c r="X81" s="224"/>
      <c r="Y81" s="224"/>
      <c r="Z81" s="224"/>
      <c r="AA81" s="224"/>
      <c r="AB81" s="224"/>
      <c r="AC81" s="224"/>
      <c r="AD81" s="224"/>
      <c r="AE81" s="224"/>
      <c r="AF81" s="224"/>
      <c r="AG81" s="224"/>
      <c r="AH81" s="224"/>
      <c r="AI81" s="224"/>
      <c r="AJ81" s="224"/>
    </row>
  </sheetData>
  <pageMargins left="0.511811024" right="0.511811024" top="0.78740157499999996" bottom="0.78740157499999996" header="0.31496062000000002" footer="0.31496062000000002"/>
  <pageSetup paperSize="9" scale="58" orientation="portrait" r:id="rId1"/>
  <ignoredErrors>
    <ignoredError sqref="U12 X9:Y17" formulaRange="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F45ED-A0A0-4C29-89D8-6A970EE4722D}">
  <dimension ref="B1:AT77"/>
  <sheetViews>
    <sheetView showGridLines="0" zoomScaleNormal="100" workbookViewId="0">
      <pane xSplit="3" ySplit="4" topLeftCell="AN69" activePane="bottomRight" state="frozen"/>
      <selection activeCell="B30" sqref="B30"/>
      <selection pane="topRight" activeCell="B30" sqref="B30"/>
      <selection pane="bottomLeft" activeCell="B30" sqref="B30"/>
      <selection pane="bottomRight" activeCell="AT76" sqref="AT76"/>
    </sheetView>
  </sheetViews>
  <sheetFormatPr defaultColWidth="9.1796875" defaultRowHeight="13" outlineLevelCol="1"/>
  <cols>
    <col min="1" max="1" width="3" style="3" customWidth="1"/>
    <col min="2" max="2" width="54.7265625" style="3" customWidth="1"/>
    <col min="3" max="3" width="1.54296875" style="3" customWidth="1"/>
    <col min="4" max="4" width="60.26953125" style="3" customWidth="1"/>
    <col min="5" max="5" width="1.453125" style="3" customWidth="1"/>
    <col min="6" max="6" width="15.81640625" style="3" customWidth="1"/>
    <col min="7" max="7" width="12.7265625" style="3" bestFit="1" customWidth="1"/>
    <col min="8" max="11" width="12.7265625" style="3" hidden="1" customWidth="1" outlineLevel="1"/>
    <col min="12" max="12" width="13.453125" style="3" customWidth="1" collapsed="1"/>
    <col min="13" max="16" width="12.7265625" style="3" hidden="1" customWidth="1" outlineLevel="1"/>
    <col min="17" max="17" width="12.7265625" style="3" customWidth="1" collapsed="1"/>
    <col min="18" max="21" width="12.7265625" style="3" hidden="1" customWidth="1" outlineLevel="1"/>
    <col min="22" max="22" width="12.7265625" style="3" customWidth="1" collapsed="1"/>
    <col min="23" max="28" width="12.7265625" style="3" hidden="1" customWidth="1" outlineLevel="1"/>
    <col min="29" max="29" width="12.7265625" style="3" customWidth="1" collapsed="1"/>
    <col min="30" max="35" width="13" style="3" customWidth="1" outlineLevel="1"/>
    <col min="36" max="38" width="13.1796875" style="3" customWidth="1"/>
    <col min="39" max="46" width="12.81640625" style="3" customWidth="1"/>
    <col min="47" max="16384" width="9.1796875" style="3"/>
  </cols>
  <sheetData>
    <row r="1" spans="2:46">
      <c r="G1" s="18"/>
      <c r="H1" s="18"/>
      <c r="I1" s="18"/>
      <c r="J1" s="18"/>
      <c r="K1" s="18"/>
      <c r="M1" s="18"/>
      <c r="N1" s="18"/>
      <c r="O1" s="18"/>
      <c r="P1" s="18"/>
      <c r="Q1" s="18"/>
      <c r="R1" s="18"/>
      <c r="S1" s="18"/>
      <c r="T1" s="18"/>
      <c r="U1" s="18"/>
      <c r="V1" s="18"/>
      <c r="W1" s="18"/>
      <c r="X1" s="18"/>
      <c r="Y1" s="18"/>
      <c r="Z1" s="18"/>
      <c r="AA1" s="18"/>
      <c r="AB1" s="18"/>
      <c r="AC1" s="18"/>
      <c r="AD1" s="18"/>
      <c r="AE1" s="18"/>
      <c r="AF1" s="18"/>
      <c r="AG1" s="18"/>
      <c r="AH1" s="18"/>
      <c r="AI1" s="18"/>
      <c r="AJ1" s="18"/>
    </row>
    <row r="2" spans="2:46" ht="18.5">
      <c r="F2" s="147" t="s">
        <v>651</v>
      </c>
      <c r="G2" s="18"/>
      <c r="H2" s="18"/>
      <c r="I2" s="18"/>
      <c r="J2" s="18"/>
      <c r="K2" s="18"/>
      <c r="M2" s="18"/>
      <c r="N2" s="18"/>
      <c r="O2" s="18"/>
      <c r="P2" s="18"/>
      <c r="Q2" s="18"/>
      <c r="R2" s="18"/>
      <c r="S2" s="18"/>
      <c r="T2" s="18"/>
      <c r="U2" s="18"/>
      <c r="V2" s="18"/>
      <c r="W2" s="18"/>
      <c r="X2" s="18"/>
      <c r="Y2" s="18"/>
      <c r="Z2" s="18"/>
      <c r="AA2" s="18"/>
      <c r="AB2" s="18"/>
      <c r="AC2" s="18"/>
      <c r="AD2" s="18"/>
      <c r="AE2" s="18"/>
      <c r="AF2" s="18"/>
      <c r="AG2" s="18"/>
      <c r="AH2" s="18"/>
      <c r="AI2" s="18"/>
      <c r="AJ2" s="18"/>
    </row>
    <row r="3" spans="2:46">
      <c r="L3" s="3">
        <v>2020</v>
      </c>
      <c r="M3" s="3" t="str">
        <f t="shared" ref="M3:AO3" si="0">LEFT(M4,4)</f>
        <v>1T21</v>
      </c>
      <c r="N3" s="3" t="str">
        <f t="shared" si="0"/>
        <v>2T21</v>
      </c>
      <c r="O3" s="3" t="str">
        <f t="shared" si="0"/>
        <v>3T21</v>
      </c>
      <c r="P3" s="3" t="str">
        <f t="shared" si="0"/>
        <v>4T21</v>
      </c>
      <c r="Q3" s="3" t="str">
        <f t="shared" si="0"/>
        <v>2021</v>
      </c>
      <c r="R3" s="3" t="str">
        <f t="shared" si="0"/>
        <v>1T22</v>
      </c>
      <c r="S3" s="3" t="str">
        <f t="shared" si="0"/>
        <v>2T22</v>
      </c>
      <c r="T3" s="3" t="str">
        <f t="shared" si="0"/>
        <v>3T22</v>
      </c>
      <c r="U3" s="3" t="str">
        <f t="shared" si="0"/>
        <v>4T22</v>
      </c>
      <c r="V3" s="3" t="str">
        <f t="shared" si="0"/>
        <v>2022</v>
      </c>
      <c r="W3" s="3" t="str">
        <f t="shared" si="0"/>
        <v>1T23</v>
      </c>
      <c r="X3" s="3" t="str">
        <f t="shared" si="0"/>
        <v>2T23</v>
      </c>
      <c r="Y3" s="3" t="str">
        <f t="shared" si="0"/>
        <v>1S23</v>
      </c>
      <c r="Z3" s="3" t="str">
        <f t="shared" si="0"/>
        <v>3T23</v>
      </c>
      <c r="AA3" s="3" t="str">
        <f t="shared" si="0"/>
        <v>9M23</v>
      </c>
      <c r="AB3" s="3" t="str">
        <f t="shared" si="0"/>
        <v>4T23</v>
      </c>
      <c r="AC3" s="3" t="str">
        <f t="shared" si="0"/>
        <v>2023</v>
      </c>
      <c r="AD3" s="3" t="str">
        <f t="shared" si="0"/>
        <v>1T24</v>
      </c>
      <c r="AE3" s="3" t="str">
        <f t="shared" si="0"/>
        <v>2T24</v>
      </c>
      <c r="AF3" s="3" t="str">
        <f t="shared" si="0"/>
        <v>1S24</v>
      </c>
      <c r="AG3" s="3" t="str">
        <f t="shared" si="0"/>
        <v>3T24</v>
      </c>
      <c r="AH3" s="3" t="str">
        <f t="shared" si="0"/>
        <v>9M24</v>
      </c>
      <c r="AI3" s="3" t="str">
        <f t="shared" si="0"/>
        <v>4T24</v>
      </c>
      <c r="AJ3" s="3" t="str">
        <f t="shared" si="0"/>
        <v>2024</v>
      </c>
      <c r="AK3" s="3" t="str">
        <f t="shared" si="0"/>
        <v>1T25</v>
      </c>
      <c r="AL3" s="3" t="str">
        <f t="shared" si="0"/>
        <v>2T25</v>
      </c>
      <c r="AM3" s="3" t="str">
        <f t="shared" si="0"/>
        <v>1S25</v>
      </c>
      <c r="AN3" s="3" t="str">
        <f t="shared" si="0"/>
        <v>3T25</v>
      </c>
      <c r="AO3" s="3" t="str">
        <f t="shared" si="0"/>
        <v>9M25</v>
      </c>
    </row>
    <row r="4" spans="2:46" ht="16">
      <c r="B4" s="23" t="s">
        <v>25</v>
      </c>
      <c r="C4" s="1"/>
      <c r="D4" s="23" t="s">
        <v>587</v>
      </c>
      <c r="E4" s="1"/>
      <c r="F4" s="2">
        <v>2018</v>
      </c>
      <c r="G4" s="2">
        <v>2019</v>
      </c>
      <c r="H4" s="22" t="s">
        <v>629</v>
      </c>
      <c r="I4" s="22" t="s">
        <v>630</v>
      </c>
      <c r="J4" s="22" t="s">
        <v>631</v>
      </c>
      <c r="K4" s="22" t="s">
        <v>632</v>
      </c>
      <c r="L4" s="2">
        <v>2020</v>
      </c>
      <c r="M4" s="22" t="s">
        <v>590</v>
      </c>
      <c r="N4" s="22" t="s">
        <v>633</v>
      </c>
      <c r="O4" s="22" t="s">
        <v>634</v>
      </c>
      <c r="P4" s="22" t="s">
        <v>635</v>
      </c>
      <c r="Q4" s="22">
        <v>2021</v>
      </c>
      <c r="R4" s="22" t="s">
        <v>593</v>
      </c>
      <c r="S4" s="22" t="s">
        <v>731</v>
      </c>
      <c r="T4" s="22" t="s">
        <v>755</v>
      </c>
      <c r="U4" s="22" t="s">
        <v>803</v>
      </c>
      <c r="V4" s="22">
        <v>2022</v>
      </c>
      <c r="W4" s="22" t="s">
        <v>813</v>
      </c>
      <c r="X4" s="22" t="s">
        <v>859</v>
      </c>
      <c r="Y4" s="22" t="s">
        <v>733</v>
      </c>
      <c r="Z4" s="22" t="s">
        <v>934</v>
      </c>
      <c r="AA4" s="22" t="s">
        <v>935</v>
      </c>
      <c r="AB4" s="22" t="s">
        <v>977</v>
      </c>
      <c r="AC4" s="22">
        <v>2023</v>
      </c>
      <c r="AD4" s="22" t="s">
        <v>1051</v>
      </c>
      <c r="AE4" s="22" t="s">
        <v>1077</v>
      </c>
      <c r="AF4" s="22" t="s">
        <v>1078</v>
      </c>
      <c r="AG4" s="22" t="s">
        <v>1079</v>
      </c>
      <c r="AH4" s="22" t="s">
        <v>1080</v>
      </c>
      <c r="AI4" s="22" t="s">
        <v>1081</v>
      </c>
      <c r="AJ4" s="22">
        <v>2024</v>
      </c>
      <c r="AK4" s="22" t="s">
        <v>1008</v>
      </c>
      <c r="AL4" s="22" t="s">
        <v>1067</v>
      </c>
      <c r="AM4" s="22" t="s">
        <v>1174</v>
      </c>
      <c r="AN4" s="22" t="s">
        <v>1068</v>
      </c>
      <c r="AO4" s="22" t="s">
        <v>1188</v>
      </c>
      <c r="AP4" s="22" t="s">
        <v>1069</v>
      </c>
      <c r="AQ4" s="22">
        <v>2025</v>
      </c>
      <c r="AR4" s="22" t="s">
        <v>1066</v>
      </c>
      <c r="AS4" s="22" t="s">
        <v>1242</v>
      </c>
      <c r="AT4" s="22" t="s">
        <v>1244</v>
      </c>
    </row>
    <row r="5" spans="2:46" ht="6.75" customHeight="1">
      <c r="B5" s="1"/>
      <c r="C5" s="1"/>
      <c r="D5" s="1"/>
      <c r="E5" s="1"/>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row>
    <row r="6" spans="2:46" ht="14.5">
      <c r="B6" s="39" t="s">
        <v>66</v>
      </c>
      <c r="C6" s="32"/>
      <c r="D6" s="39" t="s">
        <v>716</v>
      </c>
      <c r="E6" s="29"/>
      <c r="F6" s="32"/>
      <c r="G6" s="32"/>
      <c r="H6" s="32"/>
      <c r="I6" s="32"/>
      <c r="J6" s="32"/>
      <c r="K6" s="32"/>
      <c r="L6" s="32"/>
      <c r="M6" s="32"/>
      <c r="N6" s="32"/>
      <c r="O6" s="32"/>
      <c r="P6" s="32"/>
      <c r="Q6" s="32"/>
      <c r="R6" s="32"/>
      <c r="S6" s="32"/>
      <c r="T6" s="32"/>
      <c r="U6" s="32"/>
      <c r="V6" s="146"/>
      <c r="W6" s="32"/>
      <c r="X6" s="32"/>
      <c r="Y6" s="32"/>
      <c r="Z6" s="32"/>
      <c r="AA6" s="32"/>
      <c r="AB6" s="32"/>
      <c r="AC6" s="32"/>
      <c r="AD6" s="32"/>
      <c r="AE6" s="32"/>
      <c r="AF6" s="32"/>
      <c r="AG6" s="32"/>
      <c r="AH6" s="32"/>
      <c r="AI6" s="32"/>
      <c r="AJ6" s="32"/>
      <c r="AK6" s="32"/>
      <c r="AL6" s="32"/>
      <c r="AM6" s="32"/>
      <c r="AN6" s="32"/>
      <c r="AO6" s="32"/>
      <c r="AP6" s="32"/>
      <c r="AQ6" s="32"/>
      <c r="AR6" s="32"/>
      <c r="AS6" s="32"/>
      <c r="AT6" s="32"/>
    </row>
    <row r="7" spans="2:46" ht="6.75" customHeight="1">
      <c r="C7" s="12"/>
      <c r="F7" s="5"/>
      <c r="G7" s="5"/>
      <c r="H7" s="5"/>
      <c r="I7" s="5"/>
      <c r="J7" s="5"/>
      <c r="K7" s="5"/>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row>
    <row r="8" spans="2:46">
      <c r="B8" s="3" t="s">
        <v>810</v>
      </c>
      <c r="C8" s="12"/>
      <c r="D8" s="3" t="s">
        <v>717</v>
      </c>
      <c r="F8" s="13">
        <v>88694</v>
      </c>
      <c r="G8" s="13">
        <v>71838</v>
      </c>
      <c r="H8" s="13">
        <v>-204832</v>
      </c>
      <c r="I8" s="13">
        <v>-19594</v>
      </c>
      <c r="J8" s="13">
        <v>13266</v>
      </c>
      <c r="K8" s="13">
        <v>93523.000000000029</v>
      </c>
      <c r="L8" s="13">
        <v>-117636.99999999997</v>
      </c>
      <c r="M8" s="13">
        <v>-24205</v>
      </c>
      <c r="N8" s="13">
        <v>126643</v>
      </c>
      <c r="O8" s="13">
        <v>35798</v>
      </c>
      <c r="P8" s="13">
        <v>95381</v>
      </c>
      <c r="Q8" s="13">
        <v>233617</v>
      </c>
      <c r="R8" s="13">
        <v>530662</v>
      </c>
      <c r="S8" s="13">
        <v>167910</v>
      </c>
      <c r="T8" s="13">
        <v>265365</v>
      </c>
      <c r="U8" s="13">
        <v>360663</v>
      </c>
      <c r="V8" s="13">
        <v>1324600</v>
      </c>
      <c r="W8" s="13">
        <v>237214</v>
      </c>
      <c r="X8" s="13">
        <v>229444</v>
      </c>
      <c r="Y8" s="13">
        <v>466658</v>
      </c>
      <c r="Z8" s="13">
        <v>146517</v>
      </c>
      <c r="AA8" s="13">
        <v>613175</v>
      </c>
      <c r="AB8" s="13">
        <v>115654</v>
      </c>
      <c r="AC8" s="13">
        <v>728829</v>
      </c>
      <c r="AD8" s="13">
        <v>128512</v>
      </c>
      <c r="AE8" s="13">
        <v>52849</v>
      </c>
      <c r="AF8" s="13">
        <v>181361</v>
      </c>
      <c r="AG8" s="13">
        <v>196080</v>
      </c>
      <c r="AH8" s="13">
        <v>377441</v>
      </c>
      <c r="AI8" s="13">
        <v>-14036</v>
      </c>
      <c r="AJ8" s="13">
        <v>363405</v>
      </c>
      <c r="AK8" s="13">
        <v>308762</v>
      </c>
      <c r="AL8" s="13">
        <v>253826</v>
      </c>
      <c r="AM8" s="13">
        <v>562588</v>
      </c>
      <c r="AN8" s="13">
        <v>148624</v>
      </c>
      <c r="AO8" s="13">
        <v>711212</v>
      </c>
      <c r="AP8" s="13">
        <v>64982</v>
      </c>
      <c r="AQ8" s="13">
        <v>776194</v>
      </c>
      <c r="AR8" s="13">
        <v>149052</v>
      </c>
      <c r="AS8" s="13">
        <v>233837</v>
      </c>
      <c r="AT8" s="13">
        <f>AS8+AR8</f>
        <v>382889</v>
      </c>
    </row>
    <row r="9" spans="2:46" ht="6.75" customHeight="1">
      <c r="C9" s="12"/>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row>
    <row r="10" spans="2:46">
      <c r="B10" s="47" t="s">
        <v>55</v>
      </c>
      <c r="C10" s="12"/>
      <c r="D10" s="47" t="s">
        <v>719</v>
      </c>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row>
    <row r="11" spans="2:46">
      <c r="B11" s="47" t="s">
        <v>583</v>
      </c>
      <c r="C11" s="12"/>
      <c r="D11" s="47" t="s">
        <v>718</v>
      </c>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row>
    <row r="12" spans="2:46">
      <c r="B12" s="45" t="s">
        <v>941</v>
      </c>
      <c r="C12" s="12"/>
      <c r="D12" s="45" t="s">
        <v>720</v>
      </c>
      <c r="F12" s="13">
        <f>992-336</f>
        <v>656</v>
      </c>
      <c r="G12" s="13">
        <f>-14854-25+1194+1393</f>
        <v>-12292</v>
      </c>
      <c r="H12" s="13">
        <f>248629-361+1043+5208</f>
        <v>254519</v>
      </c>
      <c r="I12" s="13">
        <f>76281-204+4058+882</f>
        <v>81017</v>
      </c>
      <c r="J12" s="13">
        <f>43655-233+4869+400</f>
        <v>48691</v>
      </c>
      <c r="K12" s="13">
        <f>-62679+599+6546+2713</f>
        <v>-52821</v>
      </c>
      <c r="L12" s="13">
        <f>305886-199+8871+16848</f>
        <v>331406</v>
      </c>
      <c r="M12" s="13">
        <f>103869-988+3353+1461</f>
        <v>107695</v>
      </c>
      <c r="N12" s="13">
        <f>-105789+1343+3443+976</f>
        <v>-100027</v>
      </c>
      <c r="O12" s="13">
        <f>46847+9+3222+724</f>
        <v>50802</v>
      </c>
      <c r="P12" s="13">
        <f>35104+232+2973+3161</f>
        <v>41470</v>
      </c>
      <c r="Q12" s="13">
        <f>80031+596+3161+12991</f>
        <v>96779</v>
      </c>
      <c r="R12" s="13">
        <f>-193553+2449</f>
        <v>-191104</v>
      </c>
      <c r="S12" s="13">
        <f>121312+2800+697</f>
        <v>124809</v>
      </c>
      <c r="T12" s="13">
        <f>23267+17116+344</f>
        <v>40727</v>
      </c>
      <c r="U12" s="13">
        <f>-47238-491+387</f>
        <v>-47342</v>
      </c>
      <c r="V12" s="13">
        <f>-96212+21874+1428</f>
        <v>-72910</v>
      </c>
      <c r="W12" s="13">
        <f>-5905+1575+27</f>
        <v>-4303</v>
      </c>
      <c r="X12" s="13">
        <f>-71135+257-27</f>
        <v>-70905</v>
      </c>
      <c r="Y12" s="13">
        <f>-77040+1832</f>
        <v>-75208</v>
      </c>
      <c r="Z12" s="13">
        <v>58109</v>
      </c>
      <c r="AA12" s="13">
        <v>-17099</v>
      </c>
      <c r="AB12" s="13">
        <v>-64719</v>
      </c>
      <c r="AC12" s="13">
        <v>-81818</v>
      </c>
      <c r="AD12" s="13">
        <v>56234</v>
      </c>
      <c r="AE12" s="13">
        <v>147080</v>
      </c>
      <c r="AF12" s="13">
        <v>203314</v>
      </c>
      <c r="AG12" s="13">
        <v>39957</v>
      </c>
      <c r="AH12" s="13">
        <v>243271</v>
      </c>
      <c r="AI12" s="13">
        <v>144290</v>
      </c>
      <c r="AJ12" s="13">
        <v>387561</v>
      </c>
      <c r="AK12" s="13">
        <v>87758</v>
      </c>
      <c r="AL12" s="13">
        <v>73625</v>
      </c>
      <c r="AM12" s="13">
        <v>161383</v>
      </c>
      <c r="AN12" s="13">
        <v>76640</v>
      </c>
      <c r="AO12" s="13">
        <v>238023</v>
      </c>
      <c r="AP12" s="13">
        <v>76433</v>
      </c>
      <c r="AQ12" s="13">
        <v>314456</v>
      </c>
      <c r="AR12" s="13">
        <v>151041</v>
      </c>
      <c r="AS12" s="13">
        <v>121702</v>
      </c>
      <c r="AT12" s="13">
        <f t="shared" ref="AT12:AT39" si="1">AS12+AR12</f>
        <v>272743</v>
      </c>
    </row>
    <row r="13" spans="2:46">
      <c r="B13" s="46" t="s">
        <v>954</v>
      </c>
      <c r="C13" s="12"/>
      <c r="D13" s="46" t="s">
        <v>979</v>
      </c>
      <c r="F13" s="13">
        <v>62304</v>
      </c>
      <c r="G13" s="13">
        <v>95411</v>
      </c>
      <c r="H13" s="13">
        <v>53270</v>
      </c>
      <c r="I13" s="13">
        <v>53107</v>
      </c>
      <c r="J13" s="13">
        <v>51861</v>
      </c>
      <c r="K13" s="13">
        <v>84347</v>
      </c>
      <c r="L13" s="13">
        <v>242585</v>
      </c>
      <c r="M13" s="13">
        <v>61052.492819999999</v>
      </c>
      <c r="N13" s="13">
        <v>68380.507180000001</v>
      </c>
      <c r="O13" s="13">
        <v>77661</v>
      </c>
      <c r="P13" s="13">
        <v>43106</v>
      </c>
      <c r="Q13" s="13">
        <v>250200</v>
      </c>
      <c r="R13" s="13">
        <v>69932</v>
      </c>
      <c r="S13" s="13">
        <v>85108</v>
      </c>
      <c r="T13" s="13">
        <v>112580</v>
      </c>
      <c r="U13" s="13">
        <v>83600</v>
      </c>
      <c r="V13" s="13">
        <v>351220</v>
      </c>
      <c r="W13" s="13">
        <v>103923</v>
      </c>
      <c r="X13" s="13">
        <v>145186</v>
      </c>
      <c r="Y13" s="13">
        <v>249109</v>
      </c>
      <c r="Z13" s="13">
        <v>182422</v>
      </c>
      <c r="AA13" s="13">
        <v>431531</v>
      </c>
      <c r="AB13" s="13">
        <v>166796</v>
      </c>
      <c r="AC13" s="13">
        <v>598327</v>
      </c>
      <c r="AD13" s="13">
        <v>153862</v>
      </c>
      <c r="AE13" s="13">
        <v>178214</v>
      </c>
      <c r="AF13" s="13">
        <v>332076</v>
      </c>
      <c r="AG13" s="13">
        <v>202998</v>
      </c>
      <c r="AH13" s="13">
        <v>535074</v>
      </c>
      <c r="AI13" s="13">
        <v>159742</v>
      </c>
      <c r="AJ13" s="13">
        <v>694816</v>
      </c>
      <c r="AK13" s="13">
        <v>164082</v>
      </c>
      <c r="AL13" s="13">
        <v>195367</v>
      </c>
      <c r="AM13" s="13">
        <v>359449</v>
      </c>
      <c r="AN13" s="13">
        <v>192350</v>
      </c>
      <c r="AO13" s="13">
        <v>551799</v>
      </c>
      <c r="AP13" s="13">
        <v>169278</v>
      </c>
      <c r="AQ13" s="13">
        <v>721077</v>
      </c>
      <c r="AR13" s="13">
        <v>160176</v>
      </c>
      <c r="AS13" s="13">
        <v>173038</v>
      </c>
      <c r="AT13" s="13">
        <f t="shared" si="1"/>
        <v>333214</v>
      </c>
    </row>
    <row r="14" spans="2:46">
      <c r="B14" s="46" t="s">
        <v>980</v>
      </c>
      <c r="C14" s="12"/>
      <c r="D14" s="46" t="s">
        <v>721</v>
      </c>
      <c r="F14" s="13">
        <v>-118</v>
      </c>
      <c r="G14" s="13">
        <v>71</v>
      </c>
      <c r="H14" s="13">
        <v>58</v>
      </c>
      <c r="I14" s="13">
        <v>-121</v>
      </c>
      <c r="J14" s="13">
        <v>104</v>
      </c>
      <c r="K14" s="13">
        <v>5301</v>
      </c>
      <c r="L14" s="13">
        <v>5342</v>
      </c>
      <c r="M14" s="13">
        <v>0</v>
      </c>
      <c r="N14" s="13">
        <v>0</v>
      </c>
      <c r="O14" s="13">
        <v>0</v>
      </c>
      <c r="P14" s="13">
        <v>0</v>
      </c>
      <c r="Q14" s="13">
        <v>0</v>
      </c>
      <c r="R14" s="13">
        <v>0</v>
      </c>
      <c r="S14" s="13">
        <v>0</v>
      </c>
      <c r="T14" s="13">
        <v>37962</v>
      </c>
      <c r="U14" s="13">
        <v>32749</v>
      </c>
      <c r="V14" s="13">
        <v>70711</v>
      </c>
      <c r="W14" s="13">
        <v>0</v>
      </c>
      <c r="X14" s="13">
        <v>0</v>
      </c>
      <c r="Y14" s="13">
        <v>0</v>
      </c>
      <c r="Z14" s="13">
        <v>0</v>
      </c>
      <c r="AA14" s="13">
        <v>0</v>
      </c>
      <c r="AB14" s="13">
        <v>0</v>
      </c>
      <c r="AC14" s="13">
        <v>0</v>
      </c>
      <c r="AD14" s="13">
        <v>0</v>
      </c>
      <c r="AE14" s="13">
        <v>0</v>
      </c>
      <c r="AF14" s="13">
        <v>0</v>
      </c>
      <c r="AG14" s="13">
        <v>0</v>
      </c>
      <c r="AH14" s="13">
        <v>0</v>
      </c>
      <c r="AI14" s="13">
        <v>0</v>
      </c>
      <c r="AJ14" s="13">
        <v>0</v>
      </c>
      <c r="AK14" s="13">
        <v>0</v>
      </c>
      <c r="AL14" s="13">
        <v>0</v>
      </c>
      <c r="AM14" s="13">
        <v>0</v>
      </c>
      <c r="AN14" s="13">
        <v>0</v>
      </c>
      <c r="AO14" s="13">
        <v>0</v>
      </c>
      <c r="AP14" s="13">
        <v>0</v>
      </c>
      <c r="AQ14" s="13">
        <v>0</v>
      </c>
      <c r="AR14" s="13">
        <v>0</v>
      </c>
      <c r="AS14" s="13">
        <v>0</v>
      </c>
      <c r="AT14" s="13">
        <f t="shared" si="1"/>
        <v>0</v>
      </c>
    </row>
    <row r="15" spans="2:46">
      <c r="B15" s="46" t="s">
        <v>981</v>
      </c>
      <c r="C15" s="12"/>
      <c r="D15" s="46" t="s">
        <v>722</v>
      </c>
      <c r="F15" s="13">
        <v>0</v>
      </c>
      <c r="G15" s="13">
        <v>0</v>
      </c>
      <c r="H15" s="13">
        <v>0</v>
      </c>
      <c r="I15" s="13">
        <v>0</v>
      </c>
      <c r="J15" s="13">
        <v>-8574</v>
      </c>
      <c r="K15" s="13">
        <v>8574</v>
      </c>
      <c r="L15" s="13">
        <v>0</v>
      </c>
      <c r="M15" s="13">
        <v>0</v>
      </c>
      <c r="N15" s="13">
        <v>0</v>
      </c>
      <c r="O15" s="13">
        <v>56841</v>
      </c>
      <c r="P15" s="13">
        <v>69939</v>
      </c>
      <c r="Q15" s="13">
        <v>126780</v>
      </c>
      <c r="R15" s="13">
        <v>85230</v>
      </c>
      <c r="S15" s="13">
        <v>130361</v>
      </c>
      <c r="T15" s="13">
        <v>127316</v>
      </c>
      <c r="U15" s="13">
        <v>98724</v>
      </c>
      <c r="V15" s="13">
        <v>441631</v>
      </c>
      <c r="W15" s="13">
        <v>71468</v>
      </c>
      <c r="X15" s="13">
        <v>60286</v>
      </c>
      <c r="Y15" s="13">
        <v>131754</v>
      </c>
      <c r="Z15" s="13">
        <v>70610</v>
      </c>
      <c r="AA15" s="13">
        <v>202364</v>
      </c>
      <c r="AB15" s="13">
        <v>65890</v>
      </c>
      <c r="AC15" s="13">
        <v>268254</v>
      </c>
      <c r="AD15" s="13">
        <v>70573</v>
      </c>
      <c r="AE15" s="13">
        <v>165261</v>
      </c>
      <c r="AF15" s="13">
        <v>235834</v>
      </c>
      <c r="AG15" s="13">
        <v>22801</v>
      </c>
      <c r="AH15" s="13">
        <v>258635</v>
      </c>
      <c r="AI15" s="13">
        <v>237124</v>
      </c>
      <c r="AJ15" s="13">
        <v>495759</v>
      </c>
      <c r="AK15" s="13">
        <v>-140801</v>
      </c>
      <c r="AL15" s="13">
        <v>-153211</v>
      </c>
      <c r="AM15" s="13">
        <v>-294012</v>
      </c>
      <c r="AN15" s="13">
        <v>-73683</v>
      </c>
      <c r="AO15" s="13">
        <v>-367695</v>
      </c>
      <c r="AP15" s="13">
        <v>17</v>
      </c>
      <c r="AQ15" s="13">
        <v>-367678</v>
      </c>
      <c r="AR15" s="13">
        <v>-118041</v>
      </c>
      <c r="AS15" s="13">
        <v>-28659</v>
      </c>
      <c r="AT15" s="13">
        <f t="shared" si="1"/>
        <v>-146700</v>
      </c>
    </row>
    <row r="16" spans="2:46">
      <c r="B16" s="46" t="s">
        <v>982</v>
      </c>
      <c r="C16" s="1"/>
      <c r="D16" s="46" t="s">
        <v>983</v>
      </c>
      <c r="E16" s="1"/>
      <c r="F16" s="13">
        <v>2023</v>
      </c>
      <c r="G16" s="13">
        <v>2490</v>
      </c>
      <c r="H16" s="13">
        <v>4663</v>
      </c>
      <c r="I16" s="13">
        <v>-3674</v>
      </c>
      <c r="J16" s="13">
        <v>7261</v>
      </c>
      <c r="K16" s="13">
        <v>-7753</v>
      </c>
      <c r="L16" s="13">
        <v>497</v>
      </c>
      <c r="M16" s="13">
        <v>0</v>
      </c>
      <c r="N16" s="13">
        <v>215</v>
      </c>
      <c r="O16" s="13">
        <v>3711</v>
      </c>
      <c r="P16" s="13">
        <v>16245</v>
      </c>
      <c r="Q16" s="13">
        <v>20171</v>
      </c>
      <c r="R16" s="13">
        <v>1844</v>
      </c>
      <c r="S16" s="13">
        <v>1853</v>
      </c>
      <c r="T16" s="13">
        <v>5400</v>
      </c>
      <c r="U16" s="13">
        <v>3392</v>
      </c>
      <c r="V16" s="13">
        <v>12489</v>
      </c>
      <c r="W16" s="13">
        <v>3479</v>
      </c>
      <c r="X16" s="13">
        <v>-451</v>
      </c>
      <c r="Y16" s="13">
        <v>3028</v>
      </c>
      <c r="Z16" s="13">
        <v>1699</v>
      </c>
      <c r="AA16" s="13">
        <v>4727</v>
      </c>
      <c r="AB16" s="13">
        <v>3810</v>
      </c>
      <c r="AC16" s="13">
        <v>8537</v>
      </c>
      <c r="AD16" s="13">
        <v>7547</v>
      </c>
      <c r="AE16" s="13">
        <v>38789</v>
      </c>
      <c r="AF16" s="13">
        <v>46336</v>
      </c>
      <c r="AG16" s="13">
        <v>2563</v>
      </c>
      <c r="AH16" s="13">
        <v>48899</v>
      </c>
      <c r="AI16" s="13">
        <v>10906</v>
      </c>
      <c r="AJ16" s="13">
        <v>59805</v>
      </c>
      <c r="AK16" s="13">
        <v>4022</v>
      </c>
      <c r="AL16" s="13">
        <v>-2422</v>
      </c>
      <c r="AM16" s="13">
        <v>1600</v>
      </c>
      <c r="AN16" s="13">
        <v>-6432</v>
      </c>
      <c r="AO16" s="13">
        <v>-4832</v>
      </c>
      <c r="AP16" s="13">
        <v>4983</v>
      </c>
      <c r="AQ16" s="13">
        <v>151</v>
      </c>
      <c r="AR16" s="13">
        <v>82</v>
      </c>
      <c r="AS16" s="13">
        <v>-1719</v>
      </c>
      <c r="AT16" s="13">
        <f t="shared" si="1"/>
        <v>-1637</v>
      </c>
    </row>
    <row r="17" spans="2:46">
      <c r="B17" s="46" t="s">
        <v>1055</v>
      </c>
      <c r="C17" s="1"/>
      <c r="D17" s="46" t="s">
        <v>1056</v>
      </c>
      <c r="E17" s="1"/>
      <c r="F17" s="13">
        <v>0</v>
      </c>
      <c r="G17" s="13">
        <v>0</v>
      </c>
      <c r="H17" s="13">
        <v>0</v>
      </c>
      <c r="I17" s="13">
        <v>0</v>
      </c>
      <c r="J17" s="13">
        <v>0</v>
      </c>
      <c r="K17" s="13">
        <v>0</v>
      </c>
      <c r="L17" s="13">
        <v>0</v>
      </c>
      <c r="M17" s="13">
        <v>0</v>
      </c>
      <c r="N17" s="13">
        <v>0</v>
      </c>
      <c r="O17" s="13">
        <v>0</v>
      </c>
      <c r="P17" s="13">
        <v>0</v>
      </c>
      <c r="Q17" s="13">
        <v>0</v>
      </c>
      <c r="R17" s="13">
        <v>0</v>
      </c>
      <c r="S17" s="13">
        <v>0</v>
      </c>
      <c r="T17" s="13">
        <v>0</v>
      </c>
      <c r="U17" s="13">
        <v>0</v>
      </c>
      <c r="V17" s="13">
        <v>0</v>
      </c>
      <c r="W17" s="13">
        <v>0</v>
      </c>
      <c r="X17" s="13">
        <v>0</v>
      </c>
      <c r="Y17" s="13">
        <v>0</v>
      </c>
      <c r="Z17" s="13">
        <v>0</v>
      </c>
      <c r="AA17" s="13">
        <v>0</v>
      </c>
      <c r="AB17" s="13">
        <v>0</v>
      </c>
      <c r="AC17" s="13">
        <v>0</v>
      </c>
      <c r="AD17" s="13">
        <v>22033</v>
      </c>
      <c r="AE17" s="13">
        <v>0</v>
      </c>
      <c r="AF17" s="13">
        <v>22033</v>
      </c>
      <c r="AG17" s="13">
        <v>0</v>
      </c>
      <c r="AH17" s="13">
        <v>22033</v>
      </c>
      <c r="AI17" s="13">
        <v>0</v>
      </c>
      <c r="AJ17" s="13">
        <v>22033</v>
      </c>
      <c r="AK17" s="13">
        <v>0</v>
      </c>
      <c r="AL17" s="13">
        <v>0</v>
      </c>
      <c r="AM17" s="13">
        <v>0</v>
      </c>
      <c r="AN17" s="13">
        <v>0</v>
      </c>
      <c r="AO17" s="13">
        <v>0</v>
      </c>
      <c r="AP17" s="13">
        <v>0</v>
      </c>
      <c r="AQ17" s="13">
        <v>0</v>
      </c>
      <c r="AR17" s="13">
        <v>0</v>
      </c>
      <c r="AS17" s="13">
        <v>0</v>
      </c>
      <c r="AT17" s="13">
        <f t="shared" si="1"/>
        <v>0</v>
      </c>
    </row>
    <row r="18" spans="2:46">
      <c r="B18" s="46" t="s">
        <v>742</v>
      </c>
      <c r="C18" s="12"/>
      <c r="D18" s="46" t="s">
        <v>723</v>
      </c>
      <c r="F18" s="13">
        <f>1501-2027</f>
        <v>-526</v>
      </c>
      <c r="G18" s="13">
        <f>1254-243</f>
        <v>1011</v>
      </c>
      <c r="H18" s="13">
        <v>1273</v>
      </c>
      <c r="I18" s="13">
        <v>1271</v>
      </c>
      <c r="J18" s="13">
        <v>1271</v>
      </c>
      <c r="K18" s="13">
        <f>1665-1975</f>
        <v>-310</v>
      </c>
      <c r="L18" s="13">
        <f>5480-1975</f>
        <v>3505</v>
      </c>
      <c r="M18" s="13">
        <v>2065</v>
      </c>
      <c r="N18" s="13">
        <v>1373</v>
      </c>
      <c r="O18" s="13">
        <v>1484</v>
      </c>
      <c r="P18" s="13">
        <f>1640-6994</f>
        <v>-5354</v>
      </c>
      <c r="Q18" s="13">
        <f>6562-6994</f>
        <v>-432</v>
      </c>
      <c r="R18" s="13">
        <v>2698</v>
      </c>
      <c r="S18" s="13">
        <v>2699</v>
      </c>
      <c r="T18" s="13">
        <v>2700</v>
      </c>
      <c r="U18" s="13">
        <v>2700</v>
      </c>
      <c r="V18" s="13">
        <v>10797</v>
      </c>
      <c r="W18" s="13">
        <v>3292</v>
      </c>
      <c r="X18" s="13">
        <v>3352</v>
      </c>
      <c r="Y18" s="13">
        <v>6644</v>
      </c>
      <c r="Z18" s="13">
        <v>3339</v>
      </c>
      <c r="AA18" s="13">
        <v>9983</v>
      </c>
      <c r="AB18" s="13">
        <v>2849</v>
      </c>
      <c r="AC18" s="13">
        <v>12832</v>
      </c>
      <c r="AD18" s="13">
        <v>4565</v>
      </c>
      <c r="AE18" s="13">
        <v>4449</v>
      </c>
      <c r="AF18" s="13">
        <v>9014</v>
      </c>
      <c r="AG18" s="13">
        <v>4683</v>
      </c>
      <c r="AH18" s="13">
        <v>13697</v>
      </c>
      <c r="AI18" s="13">
        <v>4565</v>
      </c>
      <c r="AJ18" s="13">
        <v>18262</v>
      </c>
      <c r="AK18" s="13">
        <v>3740</v>
      </c>
      <c r="AL18" s="13">
        <v>3739</v>
      </c>
      <c r="AM18" s="13">
        <v>7479</v>
      </c>
      <c r="AN18" s="13">
        <v>3739</v>
      </c>
      <c r="AO18" s="13">
        <v>11218</v>
      </c>
      <c r="AP18" s="13">
        <v>3740</v>
      </c>
      <c r="AQ18" s="13">
        <v>14958</v>
      </c>
      <c r="AR18" s="13">
        <v>3817</v>
      </c>
      <c r="AS18" s="13">
        <v>3817</v>
      </c>
      <c r="AT18" s="13">
        <f t="shared" si="1"/>
        <v>7634</v>
      </c>
    </row>
    <row r="19" spans="2:46">
      <c r="B19" s="46" t="s">
        <v>942</v>
      </c>
      <c r="C19" s="1"/>
      <c r="D19" s="46" t="s">
        <v>724</v>
      </c>
      <c r="E19" s="1"/>
      <c r="F19" s="13">
        <v>1688</v>
      </c>
      <c r="G19" s="13">
        <v>8037</v>
      </c>
      <c r="H19" s="13">
        <v>20477</v>
      </c>
      <c r="I19" s="13">
        <v>3044</v>
      </c>
      <c r="J19" s="13">
        <v>38534</v>
      </c>
      <c r="K19" s="13">
        <v>19222</v>
      </c>
      <c r="L19" s="13">
        <v>81277</v>
      </c>
      <c r="M19" s="13">
        <v>32270</v>
      </c>
      <c r="N19" s="13">
        <v>24470</v>
      </c>
      <c r="O19" s="13">
        <v>44695</v>
      </c>
      <c r="P19" s="13">
        <v>60805</v>
      </c>
      <c r="Q19" s="13">
        <v>162240</v>
      </c>
      <c r="R19" s="13">
        <v>45119</v>
      </c>
      <c r="S19" s="13">
        <v>27844</v>
      </c>
      <c r="T19" s="13">
        <v>34916</v>
      </c>
      <c r="U19" s="13">
        <v>33480</v>
      </c>
      <c r="V19" s="13">
        <v>141359</v>
      </c>
      <c r="W19" s="13">
        <v>59514</v>
      </c>
      <c r="X19" s="13">
        <v>28691</v>
      </c>
      <c r="Y19" s="13">
        <v>88205</v>
      </c>
      <c r="Z19" s="13">
        <v>88623</v>
      </c>
      <c r="AA19" s="13">
        <v>176828</v>
      </c>
      <c r="AB19" s="13">
        <v>58367</v>
      </c>
      <c r="AC19" s="13">
        <v>235195</v>
      </c>
      <c r="AD19" s="13">
        <v>68563</v>
      </c>
      <c r="AE19" s="13">
        <v>54417</v>
      </c>
      <c r="AF19" s="13">
        <v>122980</v>
      </c>
      <c r="AG19" s="13">
        <v>59362</v>
      </c>
      <c r="AH19" s="13">
        <v>182342</v>
      </c>
      <c r="AI19" s="13">
        <v>136840</v>
      </c>
      <c r="AJ19" s="13">
        <v>319182</v>
      </c>
      <c r="AK19" s="13">
        <v>46232</v>
      </c>
      <c r="AL19" s="13">
        <v>54444</v>
      </c>
      <c r="AM19" s="13">
        <v>100676</v>
      </c>
      <c r="AN19" s="13">
        <v>38470</v>
      </c>
      <c r="AO19" s="13">
        <v>139146</v>
      </c>
      <c r="AP19" s="13">
        <v>62141</v>
      </c>
      <c r="AQ19" s="13">
        <v>201287</v>
      </c>
      <c r="AR19" s="13">
        <v>5435</v>
      </c>
      <c r="AS19" s="13">
        <v>11566</v>
      </c>
      <c r="AT19" s="13">
        <f t="shared" si="1"/>
        <v>17001</v>
      </c>
    </row>
    <row r="20" spans="2:46">
      <c r="B20" s="46" t="s">
        <v>1206</v>
      </c>
      <c r="C20" s="1"/>
      <c r="D20" s="46"/>
      <c r="E20" s="1"/>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v>-265</v>
      </c>
      <c r="AQ20" s="13">
        <v>-265</v>
      </c>
      <c r="AR20" s="13">
        <v>0</v>
      </c>
      <c r="AS20" s="13">
        <v>0</v>
      </c>
      <c r="AT20" s="13">
        <f t="shared" si="1"/>
        <v>0</v>
      </c>
    </row>
    <row r="21" spans="2:46" ht="6.75" customHeight="1">
      <c r="C21" s="12"/>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v>0</v>
      </c>
      <c r="AF21" s="13">
        <v>0</v>
      </c>
      <c r="AG21" s="13">
        <v>0</v>
      </c>
      <c r="AH21" s="13">
        <v>0</v>
      </c>
      <c r="AI21" s="13">
        <v>0</v>
      </c>
      <c r="AJ21" s="13"/>
      <c r="AK21" s="13"/>
      <c r="AL21" s="13"/>
      <c r="AM21" s="13"/>
      <c r="AN21" s="13"/>
      <c r="AO21" s="13"/>
      <c r="AP21" s="13"/>
      <c r="AQ21" s="13"/>
      <c r="AR21" s="13"/>
      <c r="AS21" s="13"/>
      <c r="AT21" s="13">
        <f t="shared" si="1"/>
        <v>0</v>
      </c>
    </row>
    <row r="22" spans="2:46">
      <c r="B22" s="7" t="s">
        <v>56</v>
      </c>
      <c r="C22" s="12"/>
      <c r="D22" s="7" t="s">
        <v>652</v>
      </c>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v>0</v>
      </c>
      <c r="AF22" s="13">
        <v>0</v>
      </c>
      <c r="AG22" s="13">
        <v>0</v>
      </c>
      <c r="AH22" s="13">
        <v>0</v>
      </c>
      <c r="AI22" s="13">
        <v>0</v>
      </c>
      <c r="AJ22" s="13">
        <v>0</v>
      </c>
      <c r="AK22" s="13">
        <v>0</v>
      </c>
      <c r="AL22" s="13">
        <v>0</v>
      </c>
      <c r="AM22" s="13">
        <v>0</v>
      </c>
      <c r="AN22" s="13">
        <v>0</v>
      </c>
      <c r="AO22" s="13">
        <v>0</v>
      </c>
      <c r="AP22" s="13">
        <v>0</v>
      </c>
      <c r="AQ22" s="13">
        <v>0</v>
      </c>
      <c r="AR22" s="13">
        <v>0</v>
      </c>
      <c r="AS22" s="13">
        <v>0</v>
      </c>
      <c r="AT22" s="13">
        <f t="shared" si="1"/>
        <v>0</v>
      </c>
    </row>
    <row r="23" spans="2:46">
      <c r="B23" s="45" t="s">
        <v>2</v>
      </c>
      <c r="C23" s="12"/>
      <c r="D23" s="45" t="s">
        <v>725</v>
      </c>
      <c r="F23" s="13">
        <v>-9067</v>
      </c>
      <c r="G23" s="13">
        <v>-40351</v>
      </c>
      <c r="H23" s="13">
        <v>-45969</v>
      </c>
      <c r="I23" s="13">
        <v>29848</v>
      </c>
      <c r="J23" s="13">
        <v>-6249</v>
      </c>
      <c r="K23" s="13">
        <v>-7753</v>
      </c>
      <c r="L23" s="13">
        <v>-30123</v>
      </c>
      <c r="M23" s="13">
        <v>-36389</v>
      </c>
      <c r="N23" s="13">
        <v>12055</v>
      </c>
      <c r="O23" s="13">
        <v>-31934</v>
      </c>
      <c r="P23" s="13">
        <v>-14793</v>
      </c>
      <c r="Q23" s="13">
        <v>-71061</v>
      </c>
      <c r="R23" s="13">
        <v>-282691</v>
      </c>
      <c r="S23" s="13">
        <v>9954</v>
      </c>
      <c r="T23" s="13">
        <v>-19727</v>
      </c>
      <c r="U23" s="13">
        <v>-48497</v>
      </c>
      <c r="V23" s="13">
        <v>-340961</v>
      </c>
      <c r="W23" s="13">
        <v>23651</v>
      </c>
      <c r="X23" s="13">
        <v>64249</v>
      </c>
      <c r="Y23" s="13">
        <v>87900</v>
      </c>
      <c r="Z23" s="13">
        <f t="shared" ref="Z23:Z39" si="2">AA23-Y23</f>
        <v>-48200</v>
      </c>
      <c r="AA23" s="13">
        <v>39700</v>
      </c>
      <c r="AB23" s="13">
        <v>-11882</v>
      </c>
      <c r="AC23" s="13">
        <v>27818</v>
      </c>
      <c r="AD23" s="13">
        <v>10850</v>
      </c>
      <c r="AE23" s="13">
        <v>-27457</v>
      </c>
      <c r="AF23" s="13">
        <v>-16607</v>
      </c>
      <c r="AG23" s="13">
        <v>14678</v>
      </c>
      <c r="AH23" s="13">
        <v>-1929</v>
      </c>
      <c r="AI23" s="13">
        <v>-783</v>
      </c>
      <c r="AJ23" s="13">
        <v>-2712</v>
      </c>
      <c r="AK23" s="13">
        <v>5762</v>
      </c>
      <c r="AL23" s="13">
        <v>25178</v>
      </c>
      <c r="AM23" s="13">
        <v>30940</v>
      </c>
      <c r="AN23" s="13">
        <v>19541</v>
      </c>
      <c r="AO23" s="13">
        <v>50481</v>
      </c>
      <c r="AP23" s="13">
        <v>49561</v>
      </c>
      <c r="AQ23" s="13">
        <v>100042</v>
      </c>
      <c r="AR23" s="13">
        <v>-60823</v>
      </c>
      <c r="AS23" s="13">
        <v>-11820</v>
      </c>
      <c r="AT23" s="13">
        <f t="shared" si="1"/>
        <v>-72643</v>
      </c>
    </row>
    <row r="24" spans="2:46">
      <c r="B24" s="45" t="s">
        <v>3</v>
      </c>
      <c r="C24" s="12"/>
      <c r="D24" s="45" t="s">
        <v>691</v>
      </c>
      <c r="F24" s="13">
        <v>297</v>
      </c>
      <c r="G24" s="13">
        <v>-451</v>
      </c>
      <c r="H24" s="13">
        <v>-731</v>
      </c>
      <c r="I24" s="13">
        <v>861</v>
      </c>
      <c r="J24" s="13">
        <v>-2242</v>
      </c>
      <c r="K24" s="13">
        <v>1381</v>
      </c>
      <c r="L24" s="13">
        <v>-731</v>
      </c>
      <c r="M24" s="13">
        <v>-50</v>
      </c>
      <c r="N24" s="13">
        <v>392</v>
      </c>
      <c r="O24" s="13">
        <v>-142</v>
      </c>
      <c r="P24" s="13">
        <v>-5541</v>
      </c>
      <c r="Q24" s="13">
        <v>-5341</v>
      </c>
      <c r="R24" s="13">
        <v>-2440</v>
      </c>
      <c r="S24" s="13">
        <v>867</v>
      </c>
      <c r="T24" s="13">
        <v>1285</v>
      </c>
      <c r="U24" s="13">
        <v>-4611</v>
      </c>
      <c r="V24" s="13">
        <v>-4899</v>
      </c>
      <c r="W24" s="13">
        <v>8186</v>
      </c>
      <c r="X24" s="13">
        <v>-2519</v>
      </c>
      <c r="Y24" s="13">
        <v>5667</v>
      </c>
      <c r="Z24" s="13">
        <f t="shared" si="2"/>
        <v>-17341</v>
      </c>
      <c r="AA24" s="13">
        <v>-11674</v>
      </c>
      <c r="AB24" s="13">
        <v>17359</v>
      </c>
      <c r="AC24" s="13">
        <v>5685</v>
      </c>
      <c r="AD24" s="13">
        <v>-431</v>
      </c>
      <c r="AE24" s="13">
        <v>5339</v>
      </c>
      <c r="AF24" s="13">
        <v>4908</v>
      </c>
      <c r="AG24" s="13">
        <v>482</v>
      </c>
      <c r="AH24" s="13">
        <v>5390</v>
      </c>
      <c r="AI24" s="13">
        <v>-1046</v>
      </c>
      <c r="AJ24" s="13">
        <v>4344</v>
      </c>
      <c r="AK24" s="13">
        <v>-3189</v>
      </c>
      <c r="AL24" s="13">
        <v>77</v>
      </c>
      <c r="AM24" s="13">
        <v>-3112</v>
      </c>
      <c r="AN24" s="13">
        <v>3428</v>
      </c>
      <c r="AO24" s="13">
        <v>316</v>
      </c>
      <c r="AP24" s="13">
        <v>3216</v>
      </c>
      <c r="AQ24" s="13">
        <v>3532</v>
      </c>
      <c r="AR24" s="13">
        <v>-3550</v>
      </c>
      <c r="AS24" s="13">
        <v>1624</v>
      </c>
      <c r="AT24" s="13">
        <f t="shared" si="1"/>
        <v>-1926</v>
      </c>
    </row>
    <row r="25" spans="2:46">
      <c r="B25" s="45" t="s">
        <v>966</v>
      </c>
      <c r="C25" s="12"/>
      <c r="D25" s="45" t="s">
        <v>595</v>
      </c>
      <c r="F25" s="13">
        <v>-55</v>
      </c>
      <c r="G25" s="13">
        <v>7932</v>
      </c>
      <c r="H25" s="13">
        <v>-4627</v>
      </c>
      <c r="I25" s="13">
        <v>451</v>
      </c>
      <c r="J25" s="13">
        <v>-2126</v>
      </c>
      <c r="K25" s="13">
        <v>-1496</v>
      </c>
      <c r="L25" s="13">
        <v>-7798</v>
      </c>
      <c r="M25" s="13">
        <v>-5656</v>
      </c>
      <c r="N25" s="13">
        <v>-4742</v>
      </c>
      <c r="O25" s="13">
        <v>-8956</v>
      </c>
      <c r="P25" s="13">
        <v>341</v>
      </c>
      <c r="Q25" s="13">
        <v>-19013</v>
      </c>
      <c r="R25" s="13">
        <v>7002</v>
      </c>
      <c r="S25" s="13">
        <v>-22962</v>
      </c>
      <c r="T25" s="13">
        <v>-14194</v>
      </c>
      <c r="U25" s="13">
        <v>-81984</v>
      </c>
      <c r="V25" s="13">
        <v>-112138</v>
      </c>
      <c r="W25" s="13">
        <v>-4872</v>
      </c>
      <c r="X25" s="13">
        <v>-9964</v>
      </c>
      <c r="Y25" s="13">
        <v>-14836</v>
      </c>
      <c r="Z25" s="13">
        <f t="shared" si="2"/>
        <v>-49761</v>
      </c>
      <c r="AA25" s="13">
        <v>-64597</v>
      </c>
      <c r="AB25" s="13">
        <v>-6492</v>
      </c>
      <c r="AC25" s="13">
        <v>-71089</v>
      </c>
      <c r="AD25" s="13">
        <v>89370</v>
      </c>
      <c r="AE25" s="13">
        <v>76811</v>
      </c>
      <c r="AF25" s="13">
        <v>166181</v>
      </c>
      <c r="AG25" s="13">
        <v>-630</v>
      </c>
      <c r="AH25" s="13">
        <v>165551</v>
      </c>
      <c r="AI25" s="13">
        <v>-17011</v>
      </c>
      <c r="AJ25" s="13">
        <v>148540</v>
      </c>
      <c r="AK25" s="13">
        <v>-3865</v>
      </c>
      <c r="AL25" s="13">
        <v>14135</v>
      </c>
      <c r="AM25" s="13">
        <v>10270</v>
      </c>
      <c r="AN25" s="13">
        <v>-8971</v>
      </c>
      <c r="AO25" s="13">
        <v>1299</v>
      </c>
      <c r="AP25" s="13">
        <v>-21976</v>
      </c>
      <c r="AQ25" s="13">
        <v>-20677</v>
      </c>
      <c r="AR25" s="13">
        <v>43911</v>
      </c>
      <c r="AS25" s="13">
        <v>23830</v>
      </c>
      <c r="AT25" s="13">
        <f t="shared" si="1"/>
        <v>67741</v>
      </c>
    </row>
    <row r="26" spans="2:46">
      <c r="B26" s="45" t="s">
        <v>1003</v>
      </c>
      <c r="C26" s="12"/>
      <c r="D26" s="45"/>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v>496</v>
      </c>
      <c r="AS26" s="13">
        <v>-5032</v>
      </c>
      <c r="AT26" s="13">
        <f t="shared" si="1"/>
        <v>-4536</v>
      </c>
    </row>
    <row r="27" spans="2:46">
      <c r="B27" s="45" t="s">
        <v>4</v>
      </c>
      <c r="C27" s="12"/>
      <c r="D27" s="45" t="s">
        <v>596</v>
      </c>
      <c r="F27" s="13">
        <v>406</v>
      </c>
      <c r="G27" s="13">
        <v>-1045</v>
      </c>
      <c r="H27" s="13">
        <v>-5439</v>
      </c>
      <c r="I27" s="13">
        <v>-112</v>
      </c>
      <c r="J27" s="13">
        <v>1103</v>
      </c>
      <c r="K27" s="13">
        <v>-7188</v>
      </c>
      <c r="L27" s="13">
        <v>-11636</v>
      </c>
      <c r="M27" s="13">
        <v>-1572</v>
      </c>
      <c r="N27" s="13">
        <v>8025</v>
      </c>
      <c r="O27" s="13">
        <v>-835</v>
      </c>
      <c r="P27" s="13">
        <v>-4703</v>
      </c>
      <c r="Q27" s="13">
        <v>915</v>
      </c>
      <c r="R27" s="13">
        <v>-8587</v>
      </c>
      <c r="S27" s="13">
        <v>-4859</v>
      </c>
      <c r="T27" s="13">
        <v>-31947</v>
      </c>
      <c r="U27" s="13">
        <v>30107</v>
      </c>
      <c r="V27" s="13">
        <v>-15286</v>
      </c>
      <c r="W27" s="13">
        <v>-14712</v>
      </c>
      <c r="X27" s="13">
        <v>11539</v>
      </c>
      <c r="Y27" s="13">
        <v>-3173</v>
      </c>
      <c r="Z27" s="13">
        <v>-3466</v>
      </c>
      <c r="AA27" s="13">
        <v>-6639</v>
      </c>
      <c r="AB27" s="13">
        <v>-3224</v>
      </c>
      <c r="AC27" s="13">
        <v>-9863</v>
      </c>
      <c r="AD27" s="13">
        <v>19880</v>
      </c>
      <c r="AE27" s="13">
        <v>-53264</v>
      </c>
      <c r="AF27" s="13">
        <v>-33384</v>
      </c>
      <c r="AG27" s="13">
        <v>-10056</v>
      </c>
      <c r="AH27" s="13">
        <v>-43440</v>
      </c>
      <c r="AI27" s="13">
        <v>-2991</v>
      </c>
      <c r="AJ27" s="13">
        <v>-46431</v>
      </c>
      <c r="AK27" s="13">
        <v>-36046</v>
      </c>
      <c r="AL27" s="13">
        <v>30621</v>
      </c>
      <c r="AM27" s="13">
        <v>-5425</v>
      </c>
      <c r="AN27" s="13">
        <v>-1526</v>
      </c>
      <c r="AO27" s="13">
        <v>-6951</v>
      </c>
      <c r="AP27" s="13">
        <v>-25299</v>
      </c>
      <c r="AQ27" s="13">
        <v>-32250</v>
      </c>
      <c r="AR27" s="13">
        <v>-12443</v>
      </c>
      <c r="AS27" s="13">
        <v>-4831</v>
      </c>
      <c r="AT27" s="13">
        <f t="shared" si="1"/>
        <v>-17274</v>
      </c>
    </row>
    <row r="28" spans="2:46">
      <c r="C28" s="12"/>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v>0</v>
      </c>
      <c r="AF28" s="13">
        <v>0</v>
      </c>
      <c r="AG28" s="13">
        <v>0</v>
      </c>
      <c r="AH28" s="13">
        <v>0</v>
      </c>
      <c r="AI28" s="13">
        <v>0</v>
      </c>
      <c r="AJ28" s="13">
        <v>0</v>
      </c>
      <c r="AK28" s="13">
        <v>0</v>
      </c>
      <c r="AL28" s="13">
        <v>0</v>
      </c>
      <c r="AM28" s="13">
        <v>0</v>
      </c>
      <c r="AN28" s="13">
        <v>0</v>
      </c>
      <c r="AO28" s="13">
        <v>0</v>
      </c>
      <c r="AP28" s="13">
        <v>0</v>
      </c>
      <c r="AQ28" s="13">
        <v>0</v>
      </c>
      <c r="AR28" s="13">
        <v>0</v>
      </c>
      <c r="AS28" s="13">
        <v>0</v>
      </c>
      <c r="AT28" s="13">
        <f t="shared" si="1"/>
        <v>0</v>
      </c>
    </row>
    <row r="29" spans="2:46">
      <c r="B29" s="7" t="s">
        <v>57</v>
      </c>
      <c r="C29" s="12"/>
      <c r="D29" s="7" t="s">
        <v>653</v>
      </c>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v>0</v>
      </c>
      <c r="AF29" s="13">
        <v>0</v>
      </c>
      <c r="AG29" s="13">
        <v>0</v>
      </c>
      <c r="AH29" s="13">
        <v>0</v>
      </c>
      <c r="AI29" s="13">
        <v>0</v>
      </c>
      <c r="AJ29" s="13">
        <v>0</v>
      </c>
      <c r="AK29" s="13">
        <v>0</v>
      </c>
      <c r="AL29" s="13">
        <v>0</v>
      </c>
      <c r="AM29" s="13">
        <v>0</v>
      </c>
      <c r="AN29" s="13">
        <v>0</v>
      </c>
      <c r="AO29" s="13">
        <v>0</v>
      </c>
      <c r="AP29" s="13">
        <v>0</v>
      </c>
      <c r="AQ29" s="13">
        <v>0</v>
      </c>
      <c r="AR29" s="13">
        <v>0</v>
      </c>
      <c r="AS29" s="13">
        <v>0</v>
      </c>
      <c r="AT29" s="13">
        <f t="shared" si="1"/>
        <v>0</v>
      </c>
    </row>
    <row r="30" spans="2:46">
      <c r="B30" s="45" t="s">
        <v>10</v>
      </c>
      <c r="C30" s="12"/>
      <c r="D30" s="45" t="s">
        <v>601</v>
      </c>
      <c r="F30" s="13">
        <v>14697</v>
      </c>
      <c r="G30" s="13">
        <v>9975</v>
      </c>
      <c r="H30" s="13">
        <v>14945</v>
      </c>
      <c r="I30" s="13">
        <v>-24954</v>
      </c>
      <c r="J30" s="13">
        <v>19205</v>
      </c>
      <c r="K30" s="13">
        <v>28378</v>
      </c>
      <c r="L30" s="13">
        <v>37574</v>
      </c>
      <c r="M30" s="13">
        <v>5308</v>
      </c>
      <c r="N30" s="13">
        <v>-3589</v>
      </c>
      <c r="O30" s="13">
        <v>-16150</v>
      </c>
      <c r="P30" s="13">
        <v>33050</v>
      </c>
      <c r="Q30" s="13">
        <v>18619</v>
      </c>
      <c r="R30" s="13">
        <v>54875</v>
      </c>
      <c r="S30" s="13">
        <v>36453</v>
      </c>
      <c r="T30" s="13">
        <v>83032</v>
      </c>
      <c r="U30" s="13">
        <v>79084</v>
      </c>
      <c r="V30" s="13">
        <v>253444</v>
      </c>
      <c r="W30" s="13">
        <v>55055</v>
      </c>
      <c r="X30" s="13">
        <v>-43167</v>
      </c>
      <c r="Y30" s="13">
        <v>11888</v>
      </c>
      <c r="Z30" s="13">
        <f t="shared" si="2"/>
        <v>-4735</v>
      </c>
      <c r="AA30" s="13">
        <v>7153</v>
      </c>
      <c r="AB30" s="13">
        <v>14394</v>
      </c>
      <c r="AC30" s="13">
        <v>21547</v>
      </c>
      <c r="AD30" s="13">
        <v>-38262</v>
      </c>
      <c r="AE30" s="13">
        <v>17625</v>
      </c>
      <c r="AF30" s="13">
        <v>-20637</v>
      </c>
      <c r="AG30" s="13">
        <v>25755</v>
      </c>
      <c r="AH30" s="13">
        <v>5118</v>
      </c>
      <c r="AI30" s="13">
        <v>39982</v>
      </c>
      <c r="AJ30" s="13">
        <v>45100</v>
      </c>
      <c r="AK30" s="13">
        <v>68837</v>
      </c>
      <c r="AL30" s="13">
        <v>-40776</v>
      </c>
      <c r="AM30" s="13">
        <v>28061</v>
      </c>
      <c r="AN30" s="13">
        <v>-19061</v>
      </c>
      <c r="AO30" s="13">
        <v>9000</v>
      </c>
      <c r="AP30" s="13">
        <v>-56416</v>
      </c>
      <c r="AQ30" s="13">
        <v>-47416</v>
      </c>
      <c r="AR30" s="13">
        <v>-38991</v>
      </c>
      <c r="AS30" s="13">
        <v>40037</v>
      </c>
      <c r="AT30" s="13">
        <f t="shared" si="1"/>
        <v>1046</v>
      </c>
    </row>
    <row r="31" spans="2:46">
      <c r="B31" s="45" t="s">
        <v>11</v>
      </c>
      <c r="C31" s="12"/>
      <c r="D31" s="45" t="s">
        <v>602</v>
      </c>
      <c r="F31" s="13">
        <v>4000</v>
      </c>
      <c r="G31" s="13">
        <v>2697</v>
      </c>
      <c r="H31" s="13">
        <v>1208</v>
      </c>
      <c r="I31" s="13">
        <v>7006</v>
      </c>
      <c r="J31" s="13">
        <v>-10189</v>
      </c>
      <c r="K31" s="13">
        <v>4201</v>
      </c>
      <c r="L31" s="13">
        <v>2226</v>
      </c>
      <c r="M31" s="13">
        <v>3700</v>
      </c>
      <c r="N31" s="13">
        <v>3263</v>
      </c>
      <c r="O31" s="13">
        <v>5374</v>
      </c>
      <c r="P31" s="13">
        <v>-12291</v>
      </c>
      <c r="Q31" s="13">
        <v>46</v>
      </c>
      <c r="R31" s="13">
        <v>11312</v>
      </c>
      <c r="S31" s="13">
        <v>-3463</v>
      </c>
      <c r="T31" s="13">
        <v>12768</v>
      </c>
      <c r="U31" s="13">
        <v>9668</v>
      </c>
      <c r="V31" s="13">
        <v>30285</v>
      </c>
      <c r="W31" s="13">
        <v>7519</v>
      </c>
      <c r="X31" s="13">
        <v>-5858</v>
      </c>
      <c r="Y31" s="13">
        <v>1661</v>
      </c>
      <c r="Z31" s="13">
        <f t="shared" si="2"/>
        <v>18325</v>
      </c>
      <c r="AA31" s="13">
        <v>19986</v>
      </c>
      <c r="AB31" s="13">
        <v>6357</v>
      </c>
      <c r="AC31" s="13">
        <v>26343</v>
      </c>
      <c r="AD31" s="13">
        <v>-7152</v>
      </c>
      <c r="AE31" s="13">
        <v>5886</v>
      </c>
      <c r="AF31" s="13">
        <v>-1266</v>
      </c>
      <c r="AG31" s="13">
        <v>17536</v>
      </c>
      <c r="AH31" s="13">
        <v>16270</v>
      </c>
      <c r="AI31" s="13">
        <v>2271</v>
      </c>
      <c r="AJ31" s="13">
        <v>18541</v>
      </c>
      <c r="AK31" s="13">
        <v>12385</v>
      </c>
      <c r="AL31" s="13">
        <v>-13362</v>
      </c>
      <c r="AM31" s="13">
        <v>-977</v>
      </c>
      <c r="AN31" s="13">
        <v>22026</v>
      </c>
      <c r="AO31" s="13">
        <v>21049</v>
      </c>
      <c r="AP31" s="13">
        <v>-19750</v>
      </c>
      <c r="AQ31" s="13">
        <v>1299</v>
      </c>
      <c r="AR31" s="13">
        <v>14490</v>
      </c>
      <c r="AS31" s="13">
        <v>-13424</v>
      </c>
      <c r="AT31" s="13">
        <f t="shared" si="1"/>
        <v>1066</v>
      </c>
    </row>
    <row r="32" spans="2:46">
      <c r="B32" s="45" t="s">
        <v>58</v>
      </c>
      <c r="C32" s="12"/>
      <c r="D32" s="45" t="s">
        <v>654</v>
      </c>
      <c r="F32" s="13">
        <v>-11860</v>
      </c>
      <c r="G32" s="13">
        <v>-4708</v>
      </c>
      <c r="H32" s="13">
        <v>5199</v>
      </c>
      <c r="I32" s="13">
        <v>-9294</v>
      </c>
      <c r="J32" s="13">
        <v>-5188</v>
      </c>
      <c r="K32" s="13">
        <v>1547</v>
      </c>
      <c r="L32" s="13">
        <v>-7736</v>
      </c>
      <c r="M32" s="13">
        <v>10045</v>
      </c>
      <c r="N32" s="13">
        <v>1812</v>
      </c>
      <c r="O32" s="13">
        <v>2214</v>
      </c>
      <c r="P32" s="13">
        <v>6336</v>
      </c>
      <c r="Q32" s="13">
        <v>20407</v>
      </c>
      <c r="R32" s="13">
        <v>36218</v>
      </c>
      <c r="S32" s="13">
        <v>19205</v>
      </c>
      <c r="T32" s="13">
        <v>7055</v>
      </c>
      <c r="U32" s="13">
        <v>81518</v>
      </c>
      <c r="V32" s="13">
        <v>143996</v>
      </c>
      <c r="W32" s="13">
        <v>-20559</v>
      </c>
      <c r="X32" s="13">
        <v>-2074</v>
      </c>
      <c r="Y32" s="13">
        <v>-22633</v>
      </c>
      <c r="Z32" s="13">
        <f t="shared" si="2"/>
        <v>17688</v>
      </c>
      <c r="AA32" s="13">
        <v>-4945</v>
      </c>
      <c r="AB32" s="13">
        <v>7156</v>
      </c>
      <c r="AC32" s="13">
        <v>2211</v>
      </c>
      <c r="AD32" s="13">
        <v>6434</v>
      </c>
      <c r="AE32" s="13">
        <v>-6856</v>
      </c>
      <c r="AF32" s="13">
        <v>-422</v>
      </c>
      <c r="AG32" s="13">
        <v>20811</v>
      </c>
      <c r="AH32" s="13">
        <v>20389</v>
      </c>
      <c r="AI32" s="13">
        <v>-20350</v>
      </c>
      <c r="AJ32" s="13">
        <v>39</v>
      </c>
      <c r="AK32" s="13">
        <v>-11943</v>
      </c>
      <c r="AL32" s="13">
        <v>-37057</v>
      </c>
      <c r="AM32" s="13">
        <v>-49000</v>
      </c>
      <c r="AN32" s="13">
        <v>-8759</v>
      </c>
      <c r="AO32" s="13">
        <v>-57759</v>
      </c>
      <c r="AP32" s="13">
        <v>9741</v>
      </c>
      <c r="AQ32" s="13">
        <v>-48018</v>
      </c>
      <c r="AR32" s="13">
        <v>4283</v>
      </c>
      <c r="AS32" s="13">
        <v>-32064</v>
      </c>
      <c r="AT32" s="13">
        <f t="shared" si="1"/>
        <v>-27781</v>
      </c>
    </row>
    <row r="33" spans="2:46">
      <c r="B33" s="45" t="s">
        <v>17</v>
      </c>
      <c r="C33" s="12"/>
      <c r="D33" s="45" t="s">
        <v>606</v>
      </c>
      <c r="F33" s="13">
        <f>-25-116</f>
        <v>-141</v>
      </c>
      <c r="G33" s="13">
        <v>593</v>
      </c>
      <c r="H33" s="13">
        <v>557</v>
      </c>
      <c r="I33" s="13">
        <v>-929</v>
      </c>
      <c r="J33" s="13">
        <v>268</v>
      </c>
      <c r="K33" s="13">
        <v>884</v>
      </c>
      <c r="L33" s="13">
        <v>780</v>
      </c>
      <c r="M33" s="13">
        <v>-703</v>
      </c>
      <c r="N33" s="13">
        <v>-391</v>
      </c>
      <c r="O33" s="13">
        <v>4942</v>
      </c>
      <c r="P33" s="13">
        <v>12379</v>
      </c>
      <c r="Q33" s="13">
        <v>16227</v>
      </c>
      <c r="R33" s="13">
        <v>324</v>
      </c>
      <c r="S33" s="13">
        <v>12505</v>
      </c>
      <c r="T33" s="13">
        <v>23449</v>
      </c>
      <c r="U33" s="13">
        <v>-54376</v>
      </c>
      <c r="V33" s="13">
        <v>-18098</v>
      </c>
      <c r="W33" s="13">
        <v>-1577</v>
      </c>
      <c r="X33" s="13">
        <v>4470</v>
      </c>
      <c r="Y33" s="13">
        <v>2893</v>
      </c>
      <c r="Z33" s="13">
        <f t="shared" si="2"/>
        <v>5703</v>
      </c>
      <c r="AA33" s="13">
        <v>8596</v>
      </c>
      <c r="AB33" s="13">
        <v>12428</v>
      </c>
      <c r="AC33" s="13">
        <v>21024</v>
      </c>
      <c r="AD33" s="13">
        <v>-26547</v>
      </c>
      <c r="AE33" s="13">
        <v>17006</v>
      </c>
      <c r="AF33" s="13">
        <v>-9541</v>
      </c>
      <c r="AG33" s="13">
        <v>-4022</v>
      </c>
      <c r="AH33" s="13">
        <v>-13563</v>
      </c>
      <c r="AI33" s="13">
        <v>-8492</v>
      </c>
      <c r="AJ33" s="13">
        <v>-22055</v>
      </c>
      <c r="AK33" s="13">
        <v>6801</v>
      </c>
      <c r="AL33" s="13">
        <v>-13291</v>
      </c>
      <c r="AM33" s="13">
        <v>-6490</v>
      </c>
      <c r="AN33" s="13">
        <v>4613</v>
      </c>
      <c r="AO33" s="13">
        <v>-1877</v>
      </c>
      <c r="AP33" s="13">
        <v>30499</v>
      </c>
      <c r="AQ33" s="13">
        <v>28622</v>
      </c>
      <c r="AR33" s="13">
        <v>52142</v>
      </c>
      <c r="AS33" s="13">
        <v>-31133</v>
      </c>
      <c r="AT33" s="13">
        <f t="shared" si="1"/>
        <v>21009</v>
      </c>
    </row>
    <row r="34" spans="2:46" ht="6.75" customHeight="1">
      <c r="C34" s="12"/>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v>0</v>
      </c>
      <c r="AF34" s="13">
        <v>0</v>
      </c>
      <c r="AG34" s="13">
        <v>0</v>
      </c>
      <c r="AH34" s="13">
        <v>0</v>
      </c>
      <c r="AI34" s="13">
        <v>0</v>
      </c>
      <c r="AJ34" s="13">
        <v>0</v>
      </c>
      <c r="AK34" s="13">
        <v>0</v>
      </c>
      <c r="AL34" s="13">
        <v>0</v>
      </c>
      <c r="AM34" s="13">
        <v>0</v>
      </c>
      <c r="AN34" s="13">
        <v>0</v>
      </c>
      <c r="AO34" s="13">
        <v>0</v>
      </c>
      <c r="AP34" s="13">
        <v>0</v>
      </c>
      <c r="AQ34" s="13">
        <v>0</v>
      </c>
      <c r="AR34" s="13">
        <v>0</v>
      </c>
      <c r="AS34" s="13">
        <v>0</v>
      </c>
      <c r="AT34" s="13">
        <f t="shared" si="1"/>
        <v>0</v>
      </c>
    </row>
    <row r="35" spans="2:46">
      <c r="B35" s="45" t="s">
        <v>984</v>
      </c>
      <c r="C35" s="12"/>
      <c r="D35" s="45" t="s">
        <v>655</v>
      </c>
      <c r="F35" s="13">
        <v>0</v>
      </c>
      <c r="G35" s="13">
        <v>0</v>
      </c>
      <c r="H35" s="13">
        <v>0</v>
      </c>
      <c r="I35" s="13">
        <v>0</v>
      </c>
      <c r="J35" s="13">
        <v>0</v>
      </c>
      <c r="K35" s="13">
        <v>0</v>
      </c>
      <c r="L35" s="13">
        <v>0</v>
      </c>
      <c r="M35" s="13">
        <v>0</v>
      </c>
      <c r="N35" s="13">
        <v>0</v>
      </c>
      <c r="O35" s="13">
        <v>-1435</v>
      </c>
      <c r="P35" s="13">
        <v>-87</v>
      </c>
      <c r="Q35" s="13">
        <v>-1522</v>
      </c>
      <c r="R35" s="13">
        <v>-35</v>
      </c>
      <c r="S35" s="13">
        <v>0</v>
      </c>
      <c r="T35" s="13">
        <v>0</v>
      </c>
      <c r="U35" s="13">
        <v>0</v>
      </c>
      <c r="V35" s="13">
        <v>-35</v>
      </c>
      <c r="W35" s="13">
        <v>0</v>
      </c>
      <c r="X35" s="13">
        <v>0</v>
      </c>
      <c r="Y35" s="13">
        <v>0</v>
      </c>
      <c r="Z35" s="13">
        <f t="shared" si="2"/>
        <v>0</v>
      </c>
      <c r="AA35" s="13">
        <v>0</v>
      </c>
      <c r="AB35" s="13">
        <v>0</v>
      </c>
      <c r="AC35" s="13">
        <v>0</v>
      </c>
      <c r="AD35" s="13">
        <v>0</v>
      </c>
      <c r="AE35" s="13">
        <v>0</v>
      </c>
      <c r="AF35" s="13">
        <v>0</v>
      </c>
      <c r="AG35" s="13">
        <v>0</v>
      </c>
      <c r="AH35" s="13">
        <v>0</v>
      </c>
      <c r="AI35" s="13">
        <v>0</v>
      </c>
      <c r="AJ35" s="13">
        <v>0</v>
      </c>
      <c r="AK35" s="13">
        <v>0</v>
      </c>
      <c r="AL35" s="13">
        <v>0</v>
      </c>
      <c r="AM35" s="13">
        <v>0</v>
      </c>
      <c r="AN35" s="13">
        <v>0</v>
      </c>
      <c r="AO35" s="13">
        <v>0</v>
      </c>
      <c r="AP35" s="13">
        <v>0</v>
      </c>
      <c r="AQ35" s="13">
        <v>0</v>
      </c>
      <c r="AR35" s="13">
        <v>0</v>
      </c>
      <c r="AS35" s="13">
        <v>0</v>
      </c>
      <c r="AT35" s="13">
        <f t="shared" si="1"/>
        <v>0</v>
      </c>
    </row>
    <row r="36" spans="2:46">
      <c r="B36" s="45" t="s">
        <v>1057</v>
      </c>
      <c r="C36" s="12"/>
      <c r="D36" s="45" t="s">
        <v>656</v>
      </c>
      <c r="F36" s="13">
        <v>0</v>
      </c>
      <c r="G36" s="13">
        <v>0</v>
      </c>
      <c r="H36" s="13">
        <v>0</v>
      </c>
      <c r="I36" s="13">
        <v>0</v>
      </c>
      <c r="J36" s="13">
        <v>8574</v>
      </c>
      <c r="K36" s="13">
        <v>-8574</v>
      </c>
      <c r="L36" s="13">
        <v>0</v>
      </c>
      <c r="M36" s="13">
        <v>0</v>
      </c>
      <c r="N36" s="13">
        <v>0</v>
      </c>
      <c r="O36" s="13">
        <v>-56841</v>
      </c>
      <c r="P36" s="13">
        <v>-69939</v>
      </c>
      <c r="Q36" s="13">
        <v>-126780</v>
      </c>
      <c r="R36" s="13">
        <v>-85230</v>
      </c>
      <c r="S36" s="13">
        <v>-130361</v>
      </c>
      <c r="T36" s="13">
        <v>-127316</v>
      </c>
      <c r="U36" s="13">
        <v>-98724</v>
      </c>
      <c r="V36" s="13">
        <v>-441631</v>
      </c>
      <c r="W36" s="13">
        <v>-71468</v>
      </c>
      <c r="X36" s="13">
        <v>-60286</v>
      </c>
      <c r="Y36" s="13">
        <v>-131754</v>
      </c>
      <c r="Z36" s="13">
        <f t="shared" si="2"/>
        <v>-70610</v>
      </c>
      <c r="AA36" s="13">
        <v>-202364</v>
      </c>
      <c r="AB36" s="13">
        <v>-65845</v>
      </c>
      <c r="AC36" s="13">
        <v>-268209</v>
      </c>
      <c r="AD36" s="13">
        <v>-59170</v>
      </c>
      <c r="AE36" s="13">
        <v>-32400</v>
      </c>
      <c r="AF36" s="13">
        <v>-91570</v>
      </c>
      <c r="AG36" s="13">
        <v>-30734</v>
      </c>
      <c r="AH36" s="13">
        <v>-122304</v>
      </c>
      <c r="AI36" s="13">
        <v>-5235</v>
      </c>
      <c r="AJ36" s="13">
        <v>-127539</v>
      </c>
      <c r="AK36" s="13">
        <v>0</v>
      </c>
      <c r="AL36" s="13">
        <v>0</v>
      </c>
      <c r="AM36" s="13">
        <v>0</v>
      </c>
      <c r="AN36" s="13">
        <v>0</v>
      </c>
      <c r="AO36" s="13">
        <v>0</v>
      </c>
      <c r="AP36" s="13">
        <v>0</v>
      </c>
      <c r="AQ36" s="13">
        <v>0</v>
      </c>
      <c r="AR36" s="13">
        <v>0</v>
      </c>
      <c r="AS36" s="13">
        <v>0</v>
      </c>
      <c r="AT36" s="13">
        <f t="shared" si="1"/>
        <v>0</v>
      </c>
    </row>
    <row r="37" spans="2:46">
      <c r="B37" s="45" t="s">
        <v>1205</v>
      </c>
      <c r="C37" s="12"/>
      <c r="D37" s="45"/>
      <c r="F37" s="13">
        <v>0</v>
      </c>
      <c r="G37" s="13">
        <v>0</v>
      </c>
      <c r="H37" s="13">
        <v>0</v>
      </c>
      <c r="I37" s="13">
        <v>0</v>
      </c>
      <c r="J37" s="13">
        <v>0</v>
      </c>
      <c r="K37" s="13">
        <v>0</v>
      </c>
      <c r="L37" s="13">
        <v>0</v>
      </c>
      <c r="M37" s="13">
        <v>0</v>
      </c>
      <c r="N37" s="13">
        <v>0</v>
      </c>
      <c r="O37" s="13">
        <v>0</v>
      </c>
      <c r="P37" s="13">
        <v>0</v>
      </c>
      <c r="Q37" s="13">
        <v>0</v>
      </c>
      <c r="R37" s="13">
        <v>0</v>
      </c>
      <c r="S37" s="13">
        <v>0</v>
      </c>
      <c r="T37" s="13">
        <v>0</v>
      </c>
      <c r="U37" s="13">
        <v>0</v>
      </c>
      <c r="V37" s="13">
        <v>0</v>
      </c>
      <c r="W37" s="13">
        <v>0</v>
      </c>
      <c r="X37" s="13">
        <v>0</v>
      </c>
      <c r="Y37" s="13">
        <v>0</v>
      </c>
      <c r="Z37" s="13">
        <v>0</v>
      </c>
      <c r="AA37" s="13">
        <v>0</v>
      </c>
      <c r="AB37" s="13">
        <v>0</v>
      </c>
      <c r="AC37" s="13">
        <v>0</v>
      </c>
      <c r="AD37" s="13">
        <v>0</v>
      </c>
      <c r="AE37" s="13">
        <v>0</v>
      </c>
      <c r="AF37" s="13">
        <v>0</v>
      </c>
      <c r="AG37" s="13">
        <v>0</v>
      </c>
      <c r="AH37" s="13">
        <v>0</v>
      </c>
      <c r="AI37" s="13">
        <v>0</v>
      </c>
      <c r="AJ37" s="13">
        <v>0</v>
      </c>
      <c r="AK37" s="13">
        <v>0</v>
      </c>
      <c r="AL37" s="13">
        <v>28630</v>
      </c>
      <c r="AM37" s="13">
        <v>28630</v>
      </c>
      <c r="AN37" s="13">
        <v>0</v>
      </c>
      <c r="AO37" s="13">
        <v>28630</v>
      </c>
      <c r="AP37" s="13">
        <v>44692</v>
      </c>
      <c r="AQ37" s="13">
        <v>73322</v>
      </c>
      <c r="AR37" s="13">
        <v>-29603</v>
      </c>
      <c r="AS37" s="13">
        <v>-84649</v>
      </c>
      <c r="AT37" s="13">
        <f t="shared" si="1"/>
        <v>-114252</v>
      </c>
    </row>
    <row r="38" spans="2:46">
      <c r="B38" s="45" t="s">
        <v>59</v>
      </c>
      <c r="C38" s="12"/>
      <c r="D38" s="45" t="s">
        <v>657</v>
      </c>
      <c r="F38" s="13">
        <v>-682</v>
      </c>
      <c r="G38" s="13">
        <v>-1658</v>
      </c>
      <c r="H38" s="13">
        <v>-9985</v>
      </c>
      <c r="I38" s="13">
        <v>-23669</v>
      </c>
      <c r="J38" s="13">
        <v>-18898</v>
      </c>
      <c r="K38" s="13">
        <v>-19456</v>
      </c>
      <c r="L38" s="13">
        <v>-72008</v>
      </c>
      <c r="M38" s="13">
        <v>-15767</v>
      </c>
      <c r="N38" s="13">
        <v>-16912</v>
      </c>
      <c r="O38" s="13">
        <v>-13902</v>
      </c>
      <c r="P38" s="13">
        <v>-13545</v>
      </c>
      <c r="Q38" s="13">
        <v>-60126</v>
      </c>
      <c r="R38" s="13">
        <v>-12194</v>
      </c>
      <c r="S38" s="13">
        <v>-10159</v>
      </c>
      <c r="T38" s="13">
        <v>-20259</v>
      </c>
      <c r="U38" s="13">
        <v>-3499</v>
      </c>
      <c r="V38" s="13">
        <v>-46111</v>
      </c>
      <c r="W38" s="13">
        <v>-23951</v>
      </c>
      <c r="X38" s="13">
        <v>-258</v>
      </c>
      <c r="Y38" s="13">
        <v>-24209</v>
      </c>
      <c r="Z38" s="13">
        <v>-29526</v>
      </c>
      <c r="AA38" s="13">
        <v>-53735</v>
      </c>
      <c r="AB38" s="13">
        <v>-6704</v>
      </c>
      <c r="AC38" s="13">
        <v>-60439</v>
      </c>
      <c r="AD38" s="13">
        <v>-37358</v>
      </c>
      <c r="AE38" s="13">
        <v>-8534</v>
      </c>
      <c r="AF38" s="13">
        <v>-45892</v>
      </c>
      <c r="AG38" s="13">
        <v>-39196</v>
      </c>
      <c r="AH38" s="13">
        <v>-85088</v>
      </c>
      <c r="AI38" s="13">
        <v>-55813</v>
      </c>
      <c r="AJ38" s="13">
        <v>-140901</v>
      </c>
      <c r="AK38" s="13">
        <v>-667</v>
      </c>
      <c r="AL38" s="13">
        <v>-91940</v>
      </c>
      <c r="AM38" s="13">
        <v>-92607</v>
      </c>
      <c r="AN38" s="13">
        <v>-1461</v>
      </c>
      <c r="AO38" s="13">
        <v>-94068</v>
      </c>
      <c r="AP38" s="13">
        <v>-105615</v>
      </c>
      <c r="AQ38" s="13">
        <v>-199683</v>
      </c>
      <c r="AR38" s="13">
        <v>-40613</v>
      </c>
      <c r="AS38" s="13">
        <v>-127569</v>
      </c>
      <c r="AT38" s="13">
        <f t="shared" si="1"/>
        <v>-168182</v>
      </c>
    </row>
    <row r="39" spans="2:46">
      <c r="B39" s="45" t="s">
        <v>60</v>
      </c>
      <c r="C39" s="12"/>
      <c r="D39" s="45" t="s">
        <v>658</v>
      </c>
      <c r="F39" s="13">
        <v>-552</v>
      </c>
      <c r="G39" s="13">
        <v>0</v>
      </c>
      <c r="H39" s="13">
        <v>-1284</v>
      </c>
      <c r="I39" s="13">
        <v>-140</v>
      </c>
      <c r="J39" s="13">
        <v>0</v>
      </c>
      <c r="K39" s="13">
        <v>0</v>
      </c>
      <c r="L39" s="13">
        <v>-1424</v>
      </c>
      <c r="M39" s="13">
        <v>-135</v>
      </c>
      <c r="N39" s="13">
        <v>-380</v>
      </c>
      <c r="O39" s="13">
        <v>-18966</v>
      </c>
      <c r="P39" s="13">
        <v>-3346</v>
      </c>
      <c r="Q39" s="13">
        <v>-22827</v>
      </c>
      <c r="R39" s="13">
        <v>-29361</v>
      </c>
      <c r="S39" s="13">
        <v>-62782</v>
      </c>
      <c r="T39" s="13">
        <v>-64685</v>
      </c>
      <c r="U39" s="13">
        <v>-65485</v>
      </c>
      <c r="V39" s="13">
        <v>-222313</v>
      </c>
      <c r="W39" s="13">
        <v>-33826</v>
      </c>
      <c r="X39" s="13">
        <v>-29411</v>
      </c>
      <c r="Y39" s="13">
        <v>-63237</v>
      </c>
      <c r="Z39" s="13">
        <f t="shared" si="2"/>
        <v>-6134</v>
      </c>
      <c r="AA39" s="13">
        <v>-69371</v>
      </c>
      <c r="AB39" s="13">
        <v>-4007</v>
      </c>
      <c r="AC39" s="13">
        <v>-73378</v>
      </c>
      <c r="AD39" s="13">
        <v>-3517</v>
      </c>
      <c r="AE39" s="13">
        <v>-10801</v>
      </c>
      <c r="AF39" s="13">
        <v>-14318</v>
      </c>
      <c r="AG39" s="13">
        <v>-1874</v>
      </c>
      <c r="AH39" s="13">
        <v>-16192</v>
      </c>
      <c r="AI39" s="13">
        <v>-2430</v>
      </c>
      <c r="AJ39" s="13">
        <v>-18622</v>
      </c>
      <c r="AK39" s="13">
        <v>-6864</v>
      </c>
      <c r="AL39" s="13">
        <v>-5050</v>
      </c>
      <c r="AM39" s="13">
        <v>-11914</v>
      </c>
      <c r="AN39" s="13">
        <v>-1679</v>
      </c>
      <c r="AO39" s="13">
        <v>-13593</v>
      </c>
      <c r="AP39" s="13">
        <v>-911</v>
      </c>
      <c r="AQ39" s="13">
        <v>-14504</v>
      </c>
      <c r="AR39" s="13">
        <v>-1493</v>
      </c>
      <c r="AS39" s="13">
        <v>-4973</v>
      </c>
      <c r="AT39" s="13">
        <f t="shared" si="1"/>
        <v>-6466</v>
      </c>
    </row>
    <row r="40" spans="2:46" ht="15" thickBot="1">
      <c r="B40" s="14"/>
      <c r="C40" s="15"/>
      <c r="D40" s="14"/>
      <c r="E40" s="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2:46" ht="13.5" thickBot="1">
      <c r="B41" s="28" t="s">
        <v>805</v>
      </c>
      <c r="C41" s="26"/>
      <c r="D41" s="28" t="s">
        <v>659</v>
      </c>
      <c r="E41" s="27"/>
      <c r="F41" s="40">
        <v>151764</v>
      </c>
      <c r="G41" s="40">
        <v>139550</v>
      </c>
      <c r="H41" s="40">
        <v>83302</v>
      </c>
      <c r="I41" s="40">
        <v>94118</v>
      </c>
      <c r="J41" s="40">
        <v>136672</v>
      </c>
      <c r="K41" s="40">
        <v>142007.00000000003</v>
      </c>
      <c r="L41" s="40">
        <v>456099</v>
      </c>
      <c r="M41" s="40">
        <v>137658.49281999998</v>
      </c>
      <c r="N41" s="40">
        <v>120587.50718000002</v>
      </c>
      <c r="O41" s="40">
        <v>134361</v>
      </c>
      <c r="P41" s="40">
        <v>246292</v>
      </c>
      <c r="Q41" s="40">
        <v>638899</v>
      </c>
      <c r="R41" s="40">
        <v>233574</v>
      </c>
      <c r="S41" s="40">
        <f t="shared" ref="S41:AA41" si="3">SUM(S8:S39)</f>
        <v>384982</v>
      </c>
      <c r="T41" s="40">
        <f t="shared" si="3"/>
        <v>476427</v>
      </c>
      <c r="U41" s="40">
        <f t="shared" si="3"/>
        <v>411167</v>
      </c>
      <c r="V41" s="40">
        <f t="shared" si="3"/>
        <v>1506150</v>
      </c>
      <c r="W41" s="40">
        <f t="shared" si="3"/>
        <v>398033</v>
      </c>
      <c r="X41" s="40">
        <f t="shared" si="3"/>
        <v>322324</v>
      </c>
      <c r="Y41" s="40">
        <f t="shared" si="3"/>
        <v>720357</v>
      </c>
      <c r="Z41" s="40">
        <f t="shared" si="3"/>
        <v>363262</v>
      </c>
      <c r="AA41" s="40">
        <f t="shared" si="3"/>
        <v>1083619</v>
      </c>
      <c r="AB41" s="40">
        <v>308187</v>
      </c>
      <c r="AC41" s="40">
        <v>1391806</v>
      </c>
      <c r="AD41" s="40">
        <f>SUM(AD8:AD39)</f>
        <v>465986</v>
      </c>
      <c r="AE41" s="40">
        <f>SUM(AE8:AE39)</f>
        <v>624414</v>
      </c>
      <c r="AF41" s="40">
        <f>SUM(AF8:AF39)</f>
        <v>1090400</v>
      </c>
      <c r="AG41" s="40">
        <f t="shared" ref="AG41:AJ41" si="4">SUM(AG8:AG39)</f>
        <v>521194</v>
      </c>
      <c r="AH41" s="40">
        <f t="shared" si="4"/>
        <v>1611594</v>
      </c>
      <c r="AI41" s="40">
        <f t="shared" si="4"/>
        <v>607533</v>
      </c>
      <c r="AJ41" s="40">
        <f t="shared" si="4"/>
        <v>2219127</v>
      </c>
      <c r="AK41" s="40">
        <f t="shared" ref="AK41:AL41" si="5">SUM(AK8:AK39)</f>
        <v>505006</v>
      </c>
      <c r="AL41" s="40">
        <f t="shared" si="5"/>
        <v>322533</v>
      </c>
      <c r="AM41" s="40">
        <f t="shared" ref="AM41:AN41" si="6">SUM(AM8:AM39)</f>
        <v>827539</v>
      </c>
      <c r="AN41" s="40">
        <f t="shared" si="6"/>
        <v>387859</v>
      </c>
      <c r="AO41" s="40">
        <f t="shared" ref="AO41:AP41" si="7">SUM(AO8:AO39)</f>
        <v>1215398</v>
      </c>
      <c r="AP41" s="40">
        <f t="shared" si="7"/>
        <v>289051</v>
      </c>
      <c r="AQ41" s="40">
        <f t="shared" ref="AQ41" si="8">SUM(AQ8:AQ39)</f>
        <v>1504449</v>
      </c>
      <c r="AR41" s="40">
        <v>279368</v>
      </c>
      <c r="AS41" s="40">
        <f t="shared" ref="AS41:AT41" si="9">SUM(AS8:AS39)</f>
        <v>263578</v>
      </c>
      <c r="AT41" s="40">
        <f t="shared" si="9"/>
        <v>542946</v>
      </c>
    </row>
    <row r="42" spans="2:46">
      <c r="B42" s="10"/>
      <c r="C42" s="12"/>
      <c r="D42" s="10"/>
      <c r="E42" s="1"/>
    </row>
    <row r="43" spans="2:46" ht="14.5">
      <c r="B43" s="39" t="s">
        <v>64</v>
      </c>
      <c r="C43" s="32"/>
      <c r="D43" s="39" t="s">
        <v>660</v>
      </c>
      <c r="E43" s="29"/>
      <c r="F43" s="32"/>
      <c r="G43" s="32"/>
      <c r="H43" s="32"/>
      <c r="I43" s="32"/>
      <c r="J43" s="32"/>
      <c r="K43" s="32"/>
      <c r="L43" s="32"/>
      <c r="M43" s="32"/>
      <c r="N43" s="32"/>
      <c r="O43" s="32"/>
      <c r="P43" s="32"/>
      <c r="Q43" s="32"/>
      <c r="R43" s="32"/>
      <c r="S43" s="32"/>
      <c r="T43" s="32"/>
      <c r="U43" s="32"/>
      <c r="V43" s="146"/>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row>
    <row r="44" spans="2:46" ht="6.75" customHeight="1">
      <c r="C44" s="12"/>
      <c r="F44" s="6"/>
      <c r="G44" s="6"/>
      <c r="H44" s="6"/>
      <c r="I44" s="6"/>
      <c r="J44" s="6"/>
      <c r="K44" s="6"/>
      <c r="L44" s="6"/>
      <c r="M44" s="6"/>
      <c r="N44" s="6"/>
      <c r="O44" s="6"/>
      <c r="P44" s="6"/>
      <c r="Q44" s="6"/>
      <c r="R44" s="6"/>
      <c r="S44" s="6"/>
      <c r="T44" s="6"/>
      <c r="U44" s="6"/>
      <c r="V44" s="6"/>
      <c r="W44" s="6"/>
      <c r="X44" s="6"/>
      <c r="Y44" s="6"/>
      <c r="Z44" s="210"/>
      <c r="AA44" s="6"/>
      <c r="AB44" s="6"/>
      <c r="AC44" s="6"/>
      <c r="AD44" s="6"/>
      <c r="AE44" s="6"/>
      <c r="AF44" s="6"/>
      <c r="AG44" s="6"/>
      <c r="AH44" s="6"/>
      <c r="AI44" s="6"/>
      <c r="AJ44" s="6"/>
      <c r="AK44" s="6"/>
      <c r="AL44" s="6"/>
      <c r="AM44" s="6"/>
      <c r="AN44" s="6"/>
      <c r="AO44" s="6"/>
      <c r="AP44" s="6"/>
      <c r="AQ44" s="6"/>
      <c r="AR44" s="6"/>
      <c r="AS44" s="6"/>
      <c r="AT44" s="6"/>
    </row>
    <row r="45" spans="2:46">
      <c r="B45" s="45" t="s">
        <v>864</v>
      </c>
      <c r="C45" s="12"/>
      <c r="D45" s="45" t="s">
        <v>919</v>
      </c>
      <c r="F45" s="50">
        <v>549</v>
      </c>
      <c r="G45" s="50">
        <v>-6905</v>
      </c>
      <c r="H45" s="13">
        <v>-56634</v>
      </c>
      <c r="I45" s="13">
        <v>-73957</v>
      </c>
      <c r="J45" s="13">
        <v>-16673</v>
      </c>
      <c r="K45" s="13">
        <v>22435</v>
      </c>
      <c r="L45" s="50">
        <v>-124829</v>
      </c>
      <c r="M45" s="50">
        <v>2225</v>
      </c>
      <c r="N45" s="50">
        <v>-872773</v>
      </c>
      <c r="O45" s="50">
        <v>207629</v>
      </c>
      <c r="P45" s="13">
        <v>177047</v>
      </c>
      <c r="Q45" s="13">
        <v>-485872</v>
      </c>
      <c r="R45" s="13">
        <v>-20091</v>
      </c>
      <c r="S45" s="13">
        <v>-828337</v>
      </c>
      <c r="T45" s="13">
        <v>142031</v>
      </c>
      <c r="U45" s="13">
        <v>134920</v>
      </c>
      <c r="V45" s="13">
        <v>-571477</v>
      </c>
      <c r="W45" s="13">
        <v>502207</v>
      </c>
      <c r="X45" s="13">
        <v>25767</v>
      </c>
      <c r="Y45" s="13">
        <v>527974</v>
      </c>
      <c r="Z45" s="13">
        <f>AA45-Y45</f>
        <v>79527</v>
      </c>
      <c r="AA45" s="13">
        <v>607501</v>
      </c>
      <c r="AB45" s="13">
        <v>370032</v>
      </c>
      <c r="AC45" s="13">
        <v>977533</v>
      </c>
      <c r="AD45" s="13">
        <v>-63941</v>
      </c>
      <c r="AE45" s="13">
        <v>-796242</v>
      </c>
      <c r="AF45" s="13">
        <v>-860183</v>
      </c>
      <c r="AG45" s="13">
        <v>129235</v>
      </c>
      <c r="AH45" s="13">
        <v>-730948</v>
      </c>
      <c r="AI45" s="13">
        <v>313769</v>
      </c>
      <c r="AJ45" s="13">
        <v>-417179</v>
      </c>
      <c r="AK45" s="13">
        <v>21021</v>
      </c>
      <c r="AL45" s="13">
        <v>262226</v>
      </c>
      <c r="AM45" s="13">
        <v>283247</v>
      </c>
      <c r="AN45" s="13">
        <v>-210738</v>
      </c>
      <c r="AO45" s="13">
        <v>72509</v>
      </c>
      <c r="AP45" s="13">
        <v>-715255</v>
      </c>
      <c r="AQ45" s="13">
        <v>-642746</v>
      </c>
      <c r="AR45" s="13">
        <v>-27402</v>
      </c>
      <c r="AS45" s="13">
        <v>84903</v>
      </c>
      <c r="AT45" s="13">
        <f t="shared" ref="AT45:AT47" si="10">AS45+AR45</f>
        <v>57501</v>
      </c>
    </row>
    <row r="46" spans="2:46">
      <c r="B46" s="45" t="s">
        <v>821</v>
      </c>
      <c r="C46" s="12"/>
      <c r="D46" s="45" t="s">
        <v>918</v>
      </c>
      <c r="F46" s="13">
        <v>0</v>
      </c>
      <c r="G46" s="13">
        <v>0</v>
      </c>
      <c r="H46" s="13">
        <v>0</v>
      </c>
      <c r="I46" s="13">
        <v>0</v>
      </c>
      <c r="J46" s="13">
        <v>0</v>
      </c>
      <c r="K46" s="13">
        <v>0</v>
      </c>
      <c r="L46" s="13">
        <v>0</v>
      </c>
      <c r="M46" s="13">
        <v>0</v>
      </c>
      <c r="N46" s="13">
        <v>0</v>
      </c>
      <c r="O46" s="13">
        <v>0</v>
      </c>
      <c r="P46" s="13">
        <v>0</v>
      </c>
      <c r="Q46" s="13">
        <v>0</v>
      </c>
      <c r="R46" s="13">
        <v>0</v>
      </c>
      <c r="S46" s="13">
        <v>0</v>
      </c>
      <c r="T46" s="13">
        <v>0</v>
      </c>
      <c r="U46" s="13">
        <v>0</v>
      </c>
      <c r="V46" s="13">
        <v>0</v>
      </c>
      <c r="W46" s="13">
        <v>-472255</v>
      </c>
      <c r="X46" s="13">
        <v>0</v>
      </c>
      <c r="Y46" s="13">
        <v>-472255</v>
      </c>
      <c r="Z46" s="13">
        <f>AA46-Y46</f>
        <v>0</v>
      </c>
      <c r="AA46" s="13">
        <v>-472255</v>
      </c>
      <c r="AB46" s="13">
        <v>0</v>
      </c>
      <c r="AC46" s="13">
        <v>-472255</v>
      </c>
      <c r="AD46" s="13">
        <v>0</v>
      </c>
      <c r="AE46" s="13">
        <v>0</v>
      </c>
      <c r="AF46" s="13">
        <v>0</v>
      </c>
      <c r="AG46" s="13">
        <v>0</v>
      </c>
      <c r="AH46" s="13">
        <v>0</v>
      </c>
      <c r="AI46" s="13">
        <v>0</v>
      </c>
      <c r="AJ46" s="13">
        <v>0</v>
      </c>
      <c r="AK46" s="13">
        <v>0</v>
      </c>
      <c r="AL46" s="13">
        <v>0</v>
      </c>
      <c r="AM46" s="13">
        <v>0</v>
      </c>
      <c r="AN46" s="13">
        <v>0</v>
      </c>
      <c r="AO46" s="13">
        <v>0</v>
      </c>
      <c r="AP46" s="13">
        <v>0</v>
      </c>
      <c r="AQ46" s="13">
        <v>0</v>
      </c>
      <c r="AR46" s="13">
        <v>0</v>
      </c>
      <c r="AS46" s="13">
        <v>0</v>
      </c>
      <c r="AT46" s="13">
        <f t="shared" si="10"/>
        <v>0</v>
      </c>
    </row>
    <row r="47" spans="2:46">
      <c r="B47" s="45" t="s">
        <v>779</v>
      </c>
      <c r="C47" s="12"/>
      <c r="D47" s="45" t="s">
        <v>780</v>
      </c>
      <c r="F47" s="13">
        <f>-112663-472</f>
        <v>-113135</v>
      </c>
      <c r="G47" s="13">
        <f>-1332983-1266</f>
        <v>-1334249</v>
      </c>
      <c r="H47" s="50">
        <v>-50202</v>
      </c>
      <c r="I47" s="13">
        <v>-10608</v>
      </c>
      <c r="J47" s="13">
        <v>-55735</v>
      </c>
      <c r="K47" s="13">
        <v>-109451</v>
      </c>
      <c r="L47" s="13">
        <f>-225996-1559</f>
        <v>-227555</v>
      </c>
      <c r="M47" s="13">
        <v>-126003</v>
      </c>
      <c r="N47" s="13">
        <v>-60949</v>
      </c>
      <c r="O47" s="13">
        <v>-122793</v>
      </c>
      <c r="P47" s="13">
        <v>-522536</v>
      </c>
      <c r="Q47" s="13">
        <v>-832281</v>
      </c>
      <c r="R47" s="13">
        <f>-213439-972</f>
        <v>-214411</v>
      </c>
      <c r="S47" s="13">
        <f>-317145-368</f>
        <v>-317513</v>
      </c>
      <c r="T47" s="13">
        <f>-353861+1340</f>
        <v>-352521</v>
      </c>
      <c r="U47" s="13">
        <v>-343172</v>
      </c>
      <c r="V47" s="13">
        <v>-1227617</v>
      </c>
      <c r="W47" s="13">
        <v>-397155</v>
      </c>
      <c r="X47" s="13">
        <v>-325084</v>
      </c>
      <c r="Y47" s="13">
        <v>-722239</v>
      </c>
      <c r="Z47" s="13">
        <f>AA47-Y47</f>
        <v>-346625</v>
      </c>
      <c r="AA47" s="13">
        <v>-1068864</v>
      </c>
      <c r="AB47" s="13">
        <v>-297585</v>
      </c>
      <c r="AC47" s="13">
        <v>-1366449</v>
      </c>
      <c r="AD47" s="13">
        <v>-234663</v>
      </c>
      <c r="AE47" s="13">
        <v>-232611</v>
      </c>
      <c r="AF47" s="13">
        <v>-467274</v>
      </c>
      <c r="AG47" s="13">
        <v>-253470</v>
      </c>
      <c r="AH47" s="13">
        <v>-720744</v>
      </c>
      <c r="AI47" s="13">
        <v>-464663</v>
      </c>
      <c r="AJ47" s="13">
        <v>-1185407</v>
      </c>
      <c r="AK47" s="13">
        <v>-297789</v>
      </c>
      <c r="AL47" s="13">
        <v>-422397</v>
      </c>
      <c r="AM47" s="13">
        <v>-720186</v>
      </c>
      <c r="AN47" s="13">
        <v>-609250</v>
      </c>
      <c r="AO47" s="13">
        <v>-1329436</v>
      </c>
      <c r="AP47" s="13">
        <v>-309927</v>
      </c>
      <c r="AQ47" s="13">
        <v>-1639363</v>
      </c>
      <c r="AR47" s="13">
        <v>-199274</v>
      </c>
      <c r="AS47" s="13">
        <v>-189575</v>
      </c>
      <c r="AT47" s="13">
        <f t="shared" si="10"/>
        <v>-388849</v>
      </c>
    </row>
    <row r="48" spans="2:46" ht="15" thickBot="1">
      <c r="B48" s="14"/>
      <c r="C48" s="15"/>
      <c r="D48" s="14"/>
      <c r="E48" s="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2:46" ht="13.5" thickBot="1">
      <c r="B49" s="28" t="s">
        <v>806</v>
      </c>
      <c r="C49" s="26"/>
      <c r="D49" s="28" t="s">
        <v>749</v>
      </c>
      <c r="E49" s="27"/>
      <c r="F49" s="40">
        <v>-112586</v>
      </c>
      <c r="G49" s="40">
        <v>-1341154</v>
      </c>
      <c r="H49" s="40">
        <v>-107352</v>
      </c>
      <c r="I49" s="40">
        <v>-84309</v>
      </c>
      <c r="J49" s="40">
        <v>-73373</v>
      </c>
      <c r="K49" s="40">
        <v>-87350</v>
      </c>
      <c r="L49" s="40">
        <v>-352384</v>
      </c>
      <c r="M49" s="40">
        <v>-123780</v>
      </c>
      <c r="N49" s="40">
        <v>-933846</v>
      </c>
      <c r="O49" s="40">
        <v>84451</v>
      </c>
      <c r="P49" s="40">
        <v>-344978</v>
      </c>
      <c r="Q49" s="40">
        <v>-1318153</v>
      </c>
      <c r="R49" s="40">
        <v>-234502</v>
      </c>
      <c r="S49" s="40">
        <f t="shared" ref="S49:AA49" si="11">SUM(S45:S48)</f>
        <v>-1145850</v>
      </c>
      <c r="T49" s="40">
        <f t="shared" si="11"/>
        <v>-210490</v>
      </c>
      <c r="U49" s="40">
        <f t="shared" si="11"/>
        <v>-208252</v>
      </c>
      <c r="V49" s="40">
        <f t="shared" si="11"/>
        <v>-1799094</v>
      </c>
      <c r="W49" s="40">
        <f t="shared" si="11"/>
        <v>-367203</v>
      </c>
      <c r="X49" s="40">
        <f t="shared" si="11"/>
        <v>-299317</v>
      </c>
      <c r="Y49" s="40">
        <f t="shared" si="11"/>
        <v>-666520</v>
      </c>
      <c r="Z49" s="40">
        <f t="shared" si="11"/>
        <v>-267098</v>
      </c>
      <c r="AA49" s="40">
        <f t="shared" si="11"/>
        <v>-933618</v>
      </c>
      <c r="AB49" s="40">
        <v>72447</v>
      </c>
      <c r="AC49" s="40">
        <v>-861171</v>
      </c>
      <c r="AD49" s="40">
        <f>SUM(AD45:AD48)</f>
        <v>-298604</v>
      </c>
      <c r="AE49" s="40">
        <f>SUM(AE45:AE48)</f>
        <v>-1028853</v>
      </c>
      <c r="AF49" s="40">
        <f>SUM(AF45:AF48)</f>
        <v>-1327457</v>
      </c>
      <c r="AG49" s="40">
        <f t="shared" ref="AG49:AJ49" si="12">SUM(AG45:AG48)</f>
        <v>-124235</v>
      </c>
      <c r="AH49" s="40">
        <f t="shared" si="12"/>
        <v>-1451692</v>
      </c>
      <c r="AI49" s="40">
        <f t="shared" si="12"/>
        <v>-150894</v>
      </c>
      <c r="AJ49" s="40">
        <f t="shared" si="12"/>
        <v>-1602586</v>
      </c>
      <c r="AK49" s="40">
        <f t="shared" ref="AK49:AL49" si="13">SUM(AK45:AK48)</f>
        <v>-276768</v>
      </c>
      <c r="AL49" s="40">
        <f t="shared" si="13"/>
        <v>-160171</v>
      </c>
      <c r="AM49" s="40">
        <f t="shared" ref="AM49:AN49" si="14">SUM(AM45:AM48)</f>
        <v>-436939</v>
      </c>
      <c r="AN49" s="40">
        <f t="shared" si="14"/>
        <v>-819988</v>
      </c>
      <c r="AO49" s="40">
        <f t="shared" ref="AO49:AP49" si="15">SUM(AO45:AO48)</f>
        <v>-1256927</v>
      </c>
      <c r="AP49" s="40">
        <f t="shared" si="15"/>
        <v>-1025182</v>
      </c>
      <c r="AQ49" s="40">
        <f t="shared" ref="AQ49" si="16">SUM(AQ45:AQ48)</f>
        <v>-2282109</v>
      </c>
      <c r="AR49" s="40">
        <v>-226676</v>
      </c>
      <c r="AS49" s="40">
        <f t="shared" ref="AS49:AT49" si="17">SUM(AS45:AS48)</f>
        <v>-104672</v>
      </c>
      <c r="AT49" s="40">
        <f t="shared" si="17"/>
        <v>-331348</v>
      </c>
    </row>
    <row r="50" spans="2:46">
      <c r="B50" s="45"/>
      <c r="C50" s="12"/>
      <c r="D50" s="45"/>
      <c r="F50" s="137"/>
      <c r="G50" s="137"/>
      <c r="H50" s="137"/>
      <c r="I50" s="137"/>
      <c r="J50" s="137"/>
      <c r="K50" s="137"/>
      <c r="L50" s="137"/>
      <c r="M50" s="137"/>
      <c r="N50" s="137"/>
      <c r="O50" s="137"/>
      <c r="P50" s="137"/>
      <c r="Q50" s="137"/>
      <c r="R50" s="137"/>
      <c r="S50" s="137"/>
      <c r="T50" s="137"/>
      <c r="U50" s="137"/>
      <c r="V50" s="137"/>
      <c r="W50" s="137"/>
      <c r="X50" s="137"/>
      <c r="Y50" s="137"/>
      <c r="Z50" s="137"/>
      <c r="AA50" s="137"/>
      <c r="AB50" s="137"/>
      <c r="AC50" s="137"/>
      <c r="AD50" s="137"/>
      <c r="AE50" s="137"/>
      <c r="AF50" s="137"/>
      <c r="AG50" s="137"/>
      <c r="AH50" s="137"/>
      <c r="AI50" s="137"/>
      <c r="AJ50" s="137"/>
      <c r="AK50" s="137"/>
      <c r="AL50" s="137"/>
      <c r="AM50" s="137"/>
      <c r="AN50" s="137"/>
      <c r="AO50" s="137"/>
      <c r="AP50" s="137"/>
      <c r="AQ50" s="137"/>
      <c r="AR50" s="137"/>
      <c r="AS50" s="137"/>
      <c r="AT50" s="137"/>
    </row>
    <row r="51" spans="2:46" ht="14.5">
      <c r="B51" s="39" t="s">
        <v>65</v>
      </c>
      <c r="C51" s="32"/>
      <c r="D51" s="39" t="s">
        <v>661</v>
      </c>
      <c r="E51" s="29"/>
      <c r="F51" s="32"/>
      <c r="G51" s="32"/>
      <c r="H51" s="32"/>
      <c r="I51" s="32"/>
      <c r="J51" s="32"/>
      <c r="K51" s="32"/>
      <c r="L51" s="32"/>
      <c r="M51" s="32"/>
      <c r="N51" s="32"/>
      <c r="O51" s="32"/>
      <c r="P51" s="32"/>
      <c r="Q51" s="32"/>
      <c r="R51" s="32"/>
      <c r="S51" s="32"/>
      <c r="T51" s="32"/>
      <c r="U51" s="32"/>
      <c r="V51" s="146"/>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row>
    <row r="52" spans="2:46" ht="6.75" customHeight="1">
      <c r="C52" s="12"/>
      <c r="F52" s="6"/>
      <c r="G52" s="6"/>
      <c r="H52" s="6"/>
      <c r="I52" s="6"/>
      <c r="J52" s="6"/>
      <c r="K52" s="6"/>
      <c r="L52" s="6"/>
      <c r="M52" s="6"/>
      <c r="N52" s="6"/>
      <c r="O52" s="6"/>
      <c r="P52" s="6"/>
      <c r="Q52" s="6"/>
      <c r="R52" s="6"/>
      <c r="S52" s="6"/>
      <c r="T52" s="6"/>
      <c r="U52" s="6"/>
      <c r="V52" s="6"/>
      <c r="W52" s="6"/>
      <c r="X52" s="6"/>
      <c r="Y52" s="6"/>
      <c r="Z52" s="6"/>
      <c r="AA52" s="13"/>
      <c r="AB52" s="13"/>
      <c r="AC52" s="13"/>
      <c r="AD52" s="6"/>
      <c r="AE52" s="6"/>
      <c r="AF52" s="6"/>
      <c r="AG52" s="6"/>
      <c r="AH52" s="6"/>
      <c r="AI52" s="6"/>
      <c r="AJ52" s="6"/>
      <c r="AK52" s="6"/>
      <c r="AL52" s="6"/>
      <c r="AM52" s="6"/>
      <c r="AN52" s="6"/>
      <c r="AO52" s="6"/>
      <c r="AP52" s="6"/>
      <c r="AQ52" s="6"/>
      <c r="AR52" s="6"/>
      <c r="AS52" s="6"/>
      <c r="AT52" s="6"/>
    </row>
    <row r="53" spans="2:46" ht="14.25" customHeight="1">
      <c r="B53" s="244" t="s">
        <v>1112</v>
      </c>
      <c r="C53" s="12"/>
      <c r="F53" s="6"/>
      <c r="G53" s="6"/>
      <c r="H53" s="6"/>
      <c r="I53" s="6"/>
      <c r="J53" s="6"/>
      <c r="K53" s="6"/>
      <c r="L53" s="6"/>
      <c r="M53" s="6"/>
      <c r="N53" s="6"/>
      <c r="O53" s="6"/>
      <c r="P53" s="6"/>
      <c r="Q53" s="6"/>
      <c r="R53" s="6"/>
      <c r="S53" s="6"/>
      <c r="T53" s="6"/>
      <c r="U53" s="6"/>
      <c r="V53" s="6"/>
      <c r="W53" s="6"/>
      <c r="X53" s="6"/>
      <c r="Y53" s="6"/>
      <c r="Z53" s="6"/>
      <c r="AA53" s="13"/>
      <c r="AB53" s="13"/>
      <c r="AC53" s="13"/>
      <c r="AD53" s="6"/>
      <c r="AE53" s="13">
        <v>1097570</v>
      </c>
      <c r="AF53" s="13">
        <v>1097570</v>
      </c>
      <c r="AG53" s="13">
        <v>0</v>
      </c>
      <c r="AH53" s="13">
        <v>1097570</v>
      </c>
      <c r="AI53" s="13">
        <v>648457</v>
      </c>
      <c r="AJ53" s="13">
        <v>1746027</v>
      </c>
      <c r="AK53" s="13">
        <v>0</v>
      </c>
      <c r="AL53" s="13">
        <v>0</v>
      </c>
      <c r="AM53" s="13">
        <v>0</v>
      </c>
      <c r="AN53" s="13">
        <v>497355</v>
      </c>
      <c r="AO53" s="13">
        <v>497355</v>
      </c>
      <c r="AP53" s="13">
        <v>729899</v>
      </c>
      <c r="AQ53" s="13">
        <v>1227254</v>
      </c>
      <c r="AR53" s="13">
        <v>0</v>
      </c>
      <c r="AS53" s="13">
        <v>0</v>
      </c>
      <c r="AT53" s="13">
        <f t="shared" ref="AT53:AT62" si="18">AS53+AR53</f>
        <v>0</v>
      </c>
    </row>
    <row r="54" spans="2:46" ht="14.25" customHeight="1">
      <c r="B54" s="45" t="s">
        <v>985</v>
      </c>
      <c r="C54" s="12"/>
      <c r="D54" s="45" t="s">
        <v>986</v>
      </c>
      <c r="F54" s="13">
        <v>0</v>
      </c>
      <c r="G54" s="13">
        <f>807160-52871</f>
        <v>754289</v>
      </c>
      <c r="H54" s="13">
        <v>0</v>
      </c>
      <c r="I54" s="13">
        <v>0</v>
      </c>
      <c r="J54" s="13">
        <v>0</v>
      </c>
      <c r="K54" s="13">
        <v>0</v>
      </c>
      <c r="L54" s="13">
        <v>0</v>
      </c>
      <c r="M54" s="13">
        <v>60479</v>
      </c>
      <c r="N54" s="13">
        <v>0</v>
      </c>
      <c r="O54" s="13">
        <v>0</v>
      </c>
      <c r="P54" s="13">
        <v>0</v>
      </c>
      <c r="Q54" s="13">
        <v>60479</v>
      </c>
      <c r="R54" s="13">
        <v>0</v>
      </c>
      <c r="S54" s="13">
        <v>0</v>
      </c>
      <c r="T54" s="13">
        <f>658438-14918</f>
        <v>643520</v>
      </c>
      <c r="U54" s="13">
        <v>0</v>
      </c>
      <c r="V54" s="13">
        <f>658438-14918</f>
        <v>643520</v>
      </c>
      <c r="W54" s="13">
        <v>0</v>
      </c>
      <c r="X54" s="13">
        <v>0</v>
      </c>
      <c r="Y54" s="13">
        <v>0</v>
      </c>
      <c r="Z54" s="13">
        <f t="shared" ref="Z54:Z62" si="19">AA54-Y54</f>
        <v>279030</v>
      </c>
      <c r="AA54" s="13">
        <v>279030</v>
      </c>
      <c r="AB54" s="13">
        <v>0</v>
      </c>
      <c r="AC54" s="13">
        <v>279030</v>
      </c>
      <c r="AD54" s="13">
        <v>0</v>
      </c>
      <c r="AE54" s="13">
        <v>0</v>
      </c>
      <c r="AF54" s="13">
        <v>0</v>
      </c>
      <c r="AG54" s="13">
        <v>0</v>
      </c>
      <c r="AH54" s="13">
        <v>0</v>
      </c>
      <c r="AI54" s="13">
        <v>0</v>
      </c>
      <c r="AJ54" s="13">
        <v>0</v>
      </c>
      <c r="AK54" s="13">
        <v>0</v>
      </c>
      <c r="AL54" s="13">
        <v>0</v>
      </c>
      <c r="AM54" s="13">
        <v>0</v>
      </c>
      <c r="AN54" s="13">
        <v>0</v>
      </c>
      <c r="AO54" s="13">
        <v>0</v>
      </c>
      <c r="AP54" s="13">
        <v>0</v>
      </c>
      <c r="AQ54" s="13">
        <v>0</v>
      </c>
      <c r="AR54" s="13">
        <v>0</v>
      </c>
      <c r="AS54" s="13">
        <v>0</v>
      </c>
      <c r="AT54" s="13">
        <f t="shared" si="18"/>
        <v>0</v>
      </c>
    </row>
    <row r="55" spans="2:46">
      <c r="B55" s="45" t="s">
        <v>61</v>
      </c>
      <c r="C55" s="12"/>
      <c r="D55" s="45" t="s">
        <v>662</v>
      </c>
      <c r="F55" s="13">
        <v>-1117</v>
      </c>
      <c r="G55" s="13">
        <v>-1393</v>
      </c>
      <c r="H55" s="13">
        <v>-349</v>
      </c>
      <c r="I55" s="13">
        <v>-601</v>
      </c>
      <c r="J55" s="13">
        <v>-66168</v>
      </c>
      <c r="K55" s="13">
        <v>-37467</v>
      </c>
      <c r="L55" s="13">
        <v>-104585</v>
      </c>
      <c r="M55" s="13">
        <v>-55548</v>
      </c>
      <c r="N55" s="13">
        <v>-67889</v>
      </c>
      <c r="O55" s="13">
        <v>-88333</v>
      </c>
      <c r="P55" s="13">
        <v>-71433</v>
      </c>
      <c r="Q55" s="13">
        <v>-283203</v>
      </c>
      <c r="R55" s="13">
        <v>-56931</v>
      </c>
      <c r="S55" s="13">
        <v>-63374</v>
      </c>
      <c r="T55" s="13">
        <v>-584039</v>
      </c>
      <c r="U55" s="13">
        <v>-331</v>
      </c>
      <c r="V55" s="13">
        <v>-704675</v>
      </c>
      <c r="W55" s="13">
        <v>-331</v>
      </c>
      <c r="X55" s="13">
        <v>0</v>
      </c>
      <c r="Y55" s="13">
        <v>-331</v>
      </c>
      <c r="Z55" s="13">
        <f t="shared" si="19"/>
        <v>0</v>
      </c>
      <c r="AA55" s="13">
        <v>-331</v>
      </c>
      <c r="AB55" s="13">
        <v>0</v>
      </c>
      <c r="AC55" s="13">
        <v>-331</v>
      </c>
      <c r="AD55" s="13">
        <v>-44594</v>
      </c>
      <c r="AE55" s="13">
        <v>0</v>
      </c>
      <c r="AF55" s="13">
        <v>-44594</v>
      </c>
      <c r="AG55" s="13">
        <v>-379595</v>
      </c>
      <c r="AH55" s="13">
        <v>-424189</v>
      </c>
      <c r="AI55" s="13">
        <v>-619331</v>
      </c>
      <c r="AJ55" s="13">
        <v>-1043520</v>
      </c>
      <c r="AK55" s="13">
        <v>0</v>
      </c>
      <c r="AL55" s="13">
        <v>0</v>
      </c>
      <c r="AM55" s="13">
        <v>0</v>
      </c>
      <c r="AN55" s="13">
        <v>0</v>
      </c>
      <c r="AO55" s="13">
        <v>0</v>
      </c>
      <c r="AP55" s="13">
        <v>0</v>
      </c>
      <c r="AQ55" s="13">
        <v>0</v>
      </c>
      <c r="AR55" s="13">
        <v>0</v>
      </c>
      <c r="AS55" s="13">
        <v>0</v>
      </c>
      <c r="AT55" s="13">
        <f t="shared" si="18"/>
        <v>0</v>
      </c>
    </row>
    <row r="56" spans="2:46">
      <c r="B56" s="45" t="s">
        <v>943</v>
      </c>
      <c r="C56" s="12"/>
      <c r="D56" s="45" t="s">
        <v>920</v>
      </c>
      <c r="F56" s="13">
        <v>0</v>
      </c>
      <c r="G56" s="13">
        <v>0</v>
      </c>
      <c r="H56" s="13">
        <v>0</v>
      </c>
      <c r="I56" s="13">
        <v>0</v>
      </c>
      <c r="J56" s="13">
        <v>0</v>
      </c>
      <c r="K56" s="13">
        <v>0</v>
      </c>
      <c r="L56" s="13">
        <v>0</v>
      </c>
      <c r="M56" s="13">
        <v>0</v>
      </c>
      <c r="N56" s="13">
        <v>0</v>
      </c>
      <c r="O56" s="13">
        <v>0</v>
      </c>
      <c r="P56" s="13">
        <v>0</v>
      </c>
      <c r="Q56" s="13">
        <v>0</v>
      </c>
      <c r="R56" s="13">
        <v>0</v>
      </c>
      <c r="S56" s="13">
        <v>-40483</v>
      </c>
      <c r="T56" s="13">
        <v>-52545</v>
      </c>
      <c r="U56" s="13">
        <v>-180926</v>
      </c>
      <c r="V56" s="13">
        <v>-273954</v>
      </c>
      <c r="W56" s="13">
        <v>-175703</v>
      </c>
      <c r="X56" s="13">
        <v>0</v>
      </c>
      <c r="Y56" s="13">
        <v>-175703</v>
      </c>
      <c r="Z56" s="13">
        <f t="shared" si="19"/>
        <v>-377667</v>
      </c>
      <c r="AA56" s="13">
        <v>-553370</v>
      </c>
      <c r="AB56" s="13">
        <v>-98518</v>
      </c>
      <c r="AC56" s="13">
        <v>-651888</v>
      </c>
      <c r="AD56" s="13">
        <v>-7335</v>
      </c>
      <c r="AE56" s="13">
        <v>-137104</v>
      </c>
      <c r="AF56" s="13">
        <v>-144439</v>
      </c>
      <c r="AG56" s="13">
        <v>0</v>
      </c>
      <c r="AH56" s="13">
        <v>-144439</v>
      </c>
      <c r="AI56" s="13">
        <v>-254273</v>
      </c>
      <c r="AJ56" s="13">
        <v>-398712</v>
      </c>
      <c r="AK56" s="13">
        <v>-197796</v>
      </c>
      <c r="AL56" s="13">
        <v>0</v>
      </c>
      <c r="AM56" s="13">
        <v>-197796</v>
      </c>
      <c r="AN56" s="13">
        <v>0</v>
      </c>
      <c r="AO56" s="13">
        <v>-197796</v>
      </c>
      <c r="AP56" s="13">
        <v>-35617</v>
      </c>
      <c r="AQ56" s="13">
        <v>-233413</v>
      </c>
      <c r="AR56" s="13">
        <v>0</v>
      </c>
      <c r="AS56" s="13">
        <v>0</v>
      </c>
      <c r="AT56" s="13">
        <f t="shared" si="18"/>
        <v>0</v>
      </c>
    </row>
    <row r="57" spans="2:46">
      <c r="B57" s="45" t="s">
        <v>62</v>
      </c>
      <c r="C57" s="12"/>
      <c r="D57" s="45" t="s">
        <v>663</v>
      </c>
      <c r="F57" s="13">
        <v>0</v>
      </c>
      <c r="G57" s="13">
        <v>0</v>
      </c>
      <c r="H57" s="13">
        <v>0</v>
      </c>
      <c r="I57" s="13">
        <v>0</v>
      </c>
      <c r="J57" s="13">
        <v>0</v>
      </c>
      <c r="K57" s="13">
        <v>0</v>
      </c>
      <c r="L57" s="13">
        <v>0</v>
      </c>
      <c r="M57" s="13">
        <v>0</v>
      </c>
      <c r="N57" s="13">
        <v>5625</v>
      </c>
      <c r="O57" s="13">
        <v>778</v>
      </c>
      <c r="P57" s="13">
        <v>822</v>
      </c>
      <c r="Q57" s="13">
        <v>1600</v>
      </c>
      <c r="R57" s="13">
        <v>189</v>
      </c>
      <c r="S57" s="13">
        <v>333</v>
      </c>
      <c r="T57" s="13">
        <v>516</v>
      </c>
      <c r="U57" s="13">
        <v>3889</v>
      </c>
      <c r="V57" s="13">
        <v>4927</v>
      </c>
      <c r="W57" s="13">
        <v>672</v>
      </c>
      <c r="X57" s="13">
        <v>872</v>
      </c>
      <c r="Y57" s="13">
        <v>1544</v>
      </c>
      <c r="Z57" s="13">
        <f t="shared" si="19"/>
        <v>310</v>
      </c>
      <c r="AA57" s="13">
        <v>1854</v>
      </c>
      <c r="AB57" s="13">
        <v>490</v>
      </c>
      <c r="AC57" s="13">
        <v>2344</v>
      </c>
      <c r="AD57" s="13">
        <v>0</v>
      </c>
      <c r="AE57" s="13">
        <v>1006</v>
      </c>
      <c r="AF57" s="13">
        <v>1006</v>
      </c>
      <c r="AG57" s="13">
        <v>201</v>
      </c>
      <c r="AH57" s="13">
        <v>1207</v>
      </c>
      <c r="AI57" s="13">
        <v>0</v>
      </c>
      <c r="AJ57" s="13">
        <v>1207</v>
      </c>
      <c r="AK57" s="13">
        <v>148</v>
      </c>
      <c r="AL57" s="13">
        <v>0</v>
      </c>
      <c r="AM57" s="13">
        <v>148</v>
      </c>
      <c r="AN57" s="13">
        <v>0</v>
      </c>
      <c r="AO57" s="13">
        <v>148</v>
      </c>
      <c r="AP57" s="13">
        <v>0</v>
      </c>
      <c r="AQ57" s="13">
        <v>148</v>
      </c>
      <c r="AR57" s="13">
        <v>0</v>
      </c>
      <c r="AS57" s="13">
        <v>74</v>
      </c>
      <c r="AT57" s="13">
        <f t="shared" si="18"/>
        <v>74</v>
      </c>
    </row>
    <row r="58" spans="2:46">
      <c r="B58" s="45" t="s">
        <v>863</v>
      </c>
      <c r="C58" s="12"/>
      <c r="D58" s="45" t="s">
        <v>987</v>
      </c>
      <c r="F58" s="13">
        <v>179</v>
      </c>
      <c r="G58" s="13">
        <f>492368+304</f>
        <v>492672</v>
      </c>
      <c r="H58" s="13">
        <f>2664-304</f>
        <v>2360</v>
      </c>
      <c r="I58" s="13">
        <f>711+304</f>
        <v>1015</v>
      </c>
      <c r="J58" s="13">
        <v>1967</v>
      </c>
      <c r="K58" s="13">
        <v>-5342</v>
      </c>
      <c r="L58" s="13">
        <v>0</v>
      </c>
      <c r="M58" s="13">
        <v>0</v>
      </c>
      <c r="N58" s="13">
        <v>1187375</v>
      </c>
      <c r="O58" s="13">
        <v>0</v>
      </c>
      <c r="P58" s="13">
        <v>0</v>
      </c>
      <c r="Q58" s="13">
        <v>1187375</v>
      </c>
      <c r="R58" s="13">
        <v>0</v>
      </c>
      <c r="S58" s="13">
        <v>1034000</v>
      </c>
      <c r="T58" s="13">
        <v>0</v>
      </c>
      <c r="U58" s="13">
        <v>0</v>
      </c>
      <c r="V58" s="13">
        <v>1034000</v>
      </c>
      <c r="W58" s="13">
        <v>0</v>
      </c>
      <c r="X58" s="13">
        <v>259</v>
      </c>
      <c r="Y58" s="13">
        <v>259</v>
      </c>
      <c r="Z58" s="13">
        <f>AA58-Y58</f>
        <v>0</v>
      </c>
      <c r="AA58" s="13">
        <v>259</v>
      </c>
      <c r="AB58" s="13">
        <v>1</v>
      </c>
      <c r="AC58" s="13">
        <v>260</v>
      </c>
      <c r="AD58" s="13">
        <v>495</v>
      </c>
      <c r="AE58" s="13">
        <v>0</v>
      </c>
      <c r="AF58" s="13">
        <v>495</v>
      </c>
      <c r="AG58" s="13">
        <v>0</v>
      </c>
      <c r="AH58" s="13">
        <v>495</v>
      </c>
      <c r="AI58" s="13">
        <v>0</v>
      </c>
      <c r="AJ58" s="13">
        <v>495</v>
      </c>
      <c r="AK58" s="13">
        <v>0</v>
      </c>
      <c r="AL58" s="13">
        <v>0</v>
      </c>
      <c r="AM58" s="13">
        <v>0</v>
      </c>
      <c r="AN58" s="13">
        <v>0</v>
      </c>
      <c r="AO58" s="13">
        <v>0</v>
      </c>
      <c r="AP58" s="13">
        <v>0</v>
      </c>
      <c r="AQ58" s="13">
        <v>0</v>
      </c>
      <c r="AR58" s="13">
        <v>0</v>
      </c>
      <c r="AS58" s="13">
        <v>0</v>
      </c>
      <c r="AT58" s="13">
        <f t="shared" si="18"/>
        <v>0</v>
      </c>
    </row>
    <row r="59" spans="2:46">
      <c r="B59" s="45" t="s">
        <v>809</v>
      </c>
      <c r="C59" s="12"/>
      <c r="D59" s="45" t="s">
        <v>988</v>
      </c>
      <c r="F59" s="13">
        <v>-35000</v>
      </c>
      <c r="G59" s="13">
        <v>0</v>
      </c>
      <c r="H59" s="13">
        <v>0</v>
      </c>
      <c r="I59" s="13">
        <v>0</v>
      </c>
      <c r="J59" s="13">
        <v>0</v>
      </c>
      <c r="K59" s="13">
        <v>0</v>
      </c>
      <c r="L59" s="13">
        <v>0</v>
      </c>
      <c r="M59" s="13">
        <v>0</v>
      </c>
      <c r="N59" s="13">
        <v>0</v>
      </c>
      <c r="O59" s="13">
        <v>0</v>
      </c>
      <c r="P59" s="13">
        <v>0</v>
      </c>
      <c r="Q59" s="13">
        <v>0</v>
      </c>
      <c r="R59" s="13">
        <v>0</v>
      </c>
      <c r="S59" s="13">
        <v>-39686</v>
      </c>
      <c r="T59" s="13">
        <v>-872</v>
      </c>
      <c r="U59" s="13">
        <v>-164751</v>
      </c>
      <c r="V59" s="13">
        <v>-205309</v>
      </c>
      <c r="W59" s="13">
        <v>0</v>
      </c>
      <c r="X59" s="13">
        <v>-132790</v>
      </c>
      <c r="Y59" s="13">
        <v>-132790</v>
      </c>
      <c r="Z59" s="13">
        <f t="shared" si="19"/>
        <v>0</v>
      </c>
      <c r="AA59" s="13">
        <v>-132790</v>
      </c>
      <c r="AB59" s="13">
        <v>-149153</v>
      </c>
      <c r="AC59" s="13">
        <v>-281943</v>
      </c>
      <c r="AD59" s="13">
        <v>0</v>
      </c>
      <c r="AE59" s="13">
        <v>-427357</v>
      </c>
      <c r="AF59" s="13">
        <v>-427357</v>
      </c>
      <c r="AG59" s="13">
        <v>-2</v>
      </c>
      <c r="AH59" s="13">
        <v>-427359</v>
      </c>
      <c r="AI59" s="13">
        <v>-348617</v>
      </c>
      <c r="AJ59" s="13">
        <v>-775976</v>
      </c>
      <c r="AK59" s="13">
        <v>0</v>
      </c>
      <c r="AL59" s="13">
        <v>-238158</v>
      </c>
      <c r="AM59" s="13">
        <v>-238158</v>
      </c>
      <c r="AN59" s="13">
        <v>0</v>
      </c>
      <c r="AO59" s="13">
        <v>-238158</v>
      </c>
      <c r="AP59" s="13">
        <v>0</v>
      </c>
      <c r="AQ59" s="13">
        <v>-238158</v>
      </c>
      <c r="AR59" s="13">
        <v>0</v>
      </c>
      <c r="AS59" s="13">
        <v>-100000</v>
      </c>
      <c r="AT59" s="13">
        <f t="shared" si="18"/>
        <v>-100000</v>
      </c>
    </row>
    <row r="60" spans="2:46">
      <c r="B60" s="45" t="s">
        <v>63</v>
      </c>
      <c r="C60" s="12"/>
      <c r="D60" s="45" t="s">
        <v>664</v>
      </c>
      <c r="F60" s="13">
        <v>-363</v>
      </c>
      <c r="G60" s="13">
        <v>-7726</v>
      </c>
      <c r="H60" s="13">
        <v>-2760</v>
      </c>
      <c r="I60" s="13">
        <v>-7075</v>
      </c>
      <c r="J60" s="13">
        <v>-8836</v>
      </c>
      <c r="K60" s="13">
        <v>-5723</v>
      </c>
      <c r="L60" s="13">
        <v>-24394</v>
      </c>
      <c r="M60" s="13">
        <v>-5625</v>
      </c>
      <c r="N60" s="13">
        <v>-11216</v>
      </c>
      <c r="O60" s="13">
        <v>-5098</v>
      </c>
      <c r="P60" s="13">
        <v>-4587</v>
      </c>
      <c r="Q60" s="13">
        <v>-20901</v>
      </c>
      <c r="R60" s="13">
        <v>-4438</v>
      </c>
      <c r="S60" s="13">
        <v>-3164</v>
      </c>
      <c r="T60" s="13">
        <v>-4169</v>
      </c>
      <c r="U60" s="13">
        <v>-4745</v>
      </c>
      <c r="V60" s="13">
        <v>-16516</v>
      </c>
      <c r="W60" s="13">
        <v>-6695</v>
      </c>
      <c r="X60" s="13">
        <v>-7134</v>
      </c>
      <c r="Y60" s="13">
        <v>-13829</v>
      </c>
      <c r="Z60" s="13">
        <f>AA60-Y60</f>
        <v>-9564</v>
      </c>
      <c r="AA60" s="13">
        <v>-23393</v>
      </c>
      <c r="AB60" s="13">
        <v>-14750</v>
      </c>
      <c r="AC60" s="13">
        <v>-38143</v>
      </c>
      <c r="AD60" s="13">
        <v>-10983</v>
      </c>
      <c r="AE60" s="13">
        <v>-9549</v>
      </c>
      <c r="AF60" s="13">
        <v>-20532</v>
      </c>
      <c r="AG60" s="13">
        <v>-5028</v>
      </c>
      <c r="AH60" s="13">
        <v>-25560</v>
      </c>
      <c r="AI60" s="13">
        <v>-8014</v>
      </c>
      <c r="AJ60" s="13">
        <v>-33574</v>
      </c>
      <c r="AK60" s="13">
        <v>-7364</v>
      </c>
      <c r="AL60" s="13">
        <v>-13047</v>
      </c>
      <c r="AM60" s="13">
        <v>-20411</v>
      </c>
      <c r="AN60" s="13">
        <v>-10062</v>
      </c>
      <c r="AO60" s="13">
        <v>-30473</v>
      </c>
      <c r="AP60" s="13">
        <v>-6414</v>
      </c>
      <c r="AQ60" s="13">
        <v>-36887</v>
      </c>
      <c r="AR60" s="13">
        <v>-9646</v>
      </c>
      <c r="AS60" s="13">
        <v>-10425</v>
      </c>
      <c r="AT60" s="13">
        <f t="shared" si="18"/>
        <v>-20071</v>
      </c>
    </row>
    <row r="61" spans="2:46">
      <c r="B61" s="45" t="s">
        <v>989</v>
      </c>
      <c r="C61" s="12"/>
      <c r="D61" s="45" t="s">
        <v>1058</v>
      </c>
      <c r="F61" s="13">
        <v>0</v>
      </c>
      <c r="G61" s="13">
        <v>0</v>
      </c>
      <c r="H61" s="13">
        <v>0</v>
      </c>
      <c r="I61" s="13">
        <v>0</v>
      </c>
      <c r="J61" s="13">
        <v>0</v>
      </c>
      <c r="K61" s="13">
        <v>0</v>
      </c>
      <c r="L61" s="13">
        <v>0</v>
      </c>
      <c r="M61" s="13">
        <v>0</v>
      </c>
      <c r="N61" s="13">
        <v>0</v>
      </c>
      <c r="O61" s="13">
        <v>0</v>
      </c>
      <c r="P61" s="13">
        <v>0</v>
      </c>
      <c r="Q61" s="13">
        <v>0</v>
      </c>
      <c r="R61" s="13">
        <v>0</v>
      </c>
      <c r="S61" s="13">
        <v>-37413</v>
      </c>
      <c r="T61" s="13">
        <v>0</v>
      </c>
      <c r="U61" s="13">
        <v>0</v>
      </c>
      <c r="V61" s="13">
        <v>-37413</v>
      </c>
      <c r="W61" s="13">
        <v>0</v>
      </c>
      <c r="X61" s="13">
        <v>0</v>
      </c>
      <c r="Y61" s="13">
        <v>0</v>
      </c>
      <c r="Z61" s="13">
        <v>0</v>
      </c>
      <c r="AA61" s="13">
        <v>0</v>
      </c>
      <c r="AB61" s="13">
        <v>0</v>
      </c>
      <c r="AC61" s="13">
        <v>0</v>
      </c>
      <c r="AD61" s="13">
        <v>0</v>
      </c>
      <c r="AE61" s="13">
        <v>0</v>
      </c>
      <c r="AF61" s="13">
        <v>0</v>
      </c>
      <c r="AG61" s="13">
        <v>0</v>
      </c>
      <c r="AH61" s="13">
        <v>0</v>
      </c>
      <c r="AI61" s="13">
        <v>0</v>
      </c>
      <c r="AJ61" s="13">
        <v>0</v>
      </c>
      <c r="AK61" s="13">
        <v>0</v>
      </c>
      <c r="AL61" s="13">
        <v>0</v>
      </c>
      <c r="AM61" s="13">
        <v>0</v>
      </c>
      <c r="AN61" s="13">
        <v>0</v>
      </c>
      <c r="AO61" s="13">
        <v>0</v>
      </c>
      <c r="AP61" s="13">
        <v>0</v>
      </c>
      <c r="AQ61" s="13">
        <v>0</v>
      </c>
      <c r="AR61" s="13">
        <v>0</v>
      </c>
      <c r="AS61" s="13">
        <v>0</v>
      </c>
      <c r="AT61" s="13">
        <f t="shared" si="18"/>
        <v>0</v>
      </c>
    </row>
    <row r="62" spans="2:46">
      <c r="B62" s="45" t="s">
        <v>862</v>
      </c>
      <c r="C62" s="12"/>
      <c r="D62" s="45" t="s">
        <v>990</v>
      </c>
      <c r="F62" s="13">
        <v>0</v>
      </c>
      <c r="G62" s="13">
        <v>0</v>
      </c>
      <c r="H62" s="13">
        <v>0</v>
      </c>
      <c r="I62" s="13">
        <v>0</v>
      </c>
      <c r="J62" s="13">
        <v>-140</v>
      </c>
      <c r="K62" s="13">
        <v>0</v>
      </c>
      <c r="L62" s="13">
        <v>-140</v>
      </c>
      <c r="M62" s="13">
        <v>0</v>
      </c>
      <c r="N62" s="13">
        <v>-75727</v>
      </c>
      <c r="O62" s="13">
        <f>1293-4001</f>
        <v>-2708</v>
      </c>
      <c r="P62" s="13">
        <f>163-1526</f>
        <v>-1363</v>
      </c>
      <c r="Q62" s="13">
        <f>1456-75727-5527</f>
        <v>-79798</v>
      </c>
      <c r="R62" s="13">
        <v>31</v>
      </c>
      <c r="S62" s="13">
        <f>8</f>
        <v>8</v>
      </c>
      <c r="T62" s="13">
        <v>-8403</v>
      </c>
      <c r="U62" s="13">
        <v>0</v>
      </c>
      <c r="V62" s="13">
        <f>39-8403</f>
        <v>-8364</v>
      </c>
      <c r="W62" s="13">
        <v>-4055</v>
      </c>
      <c r="X62" s="13">
        <v>0</v>
      </c>
      <c r="Y62" s="13">
        <v>-4055</v>
      </c>
      <c r="Z62" s="13">
        <f t="shared" si="19"/>
        <v>0</v>
      </c>
      <c r="AA62" s="13">
        <v>-4055</v>
      </c>
      <c r="AB62" s="13">
        <v>0</v>
      </c>
      <c r="AC62" s="13">
        <v>-4055</v>
      </c>
      <c r="AD62" s="13">
        <v>0</v>
      </c>
      <c r="AE62" s="13">
        <v>-11261</v>
      </c>
      <c r="AF62" s="13">
        <v>-11261</v>
      </c>
      <c r="AG62" s="13">
        <v>-2863</v>
      </c>
      <c r="AH62" s="13">
        <v>-14124</v>
      </c>
      <c r="AI62" s="13">
        <v>0</v>
      </c>
      <c r="AJ62" s="13">
        <v>-14124</v>
      </c>
      <c r="AK62" s="13">
        <v>-3153</v>
      </c>
      <c r="AL62" s="13">
        <v>-4170</v>
      </c>
      <c r="AM62" s="13">
        <v>-7323</v>
      </c>
      <c r="AN62" s="13">
        <v>0</v>
      </c>
      <c r="AO62" s="13">
        <v>-7323</v>
      </c>
      <c r="AP62" s="13">
        <v>-1</v>
      </c>
      <c r="AQ62" s="13">
        <v>-7324</v>
      </c>
      <c r="AR62" s="13">
        <v>0</v>
      </c>
      <c r="AS62" s="13">
        <v>-117</v>
      </c>
      <c r="AT62" s="13">
        <f t="shared" si="18"/>
        <v>-117</v>
      </c>
    </row>
    <row r="63" spans="2:46" ht="4.5" customHeight="1" thickBot="1">
      <c r="B63" s="10"/>
      <c r="C63" s="15"/>
      <c r="D63" s="10"/>
      <c r="E63" s="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2:46" ht="13.5" thickBot="1">
      <c r="B64" s="28" t="s">
        <v>807</v>
      </c>
      <c r="C64" s="26"/>
      <c r="D64" s="28" t="s">
        <v>750</v>
      </c>
      <c r="E64" s="27"/>
      <c r="F64" s="40">
        <v>-36301</v>
      </c>
      <c r="G64" s="40">
        <v>1237842</v>
      </c>
      <c r="H64" s="40">
        <v>-749</v>
      </c>
      <c r="I64" s="40">
        <v>-6661</v>
      </c>
      <c r="J64" s="40">
        <v>-73177</v>
      </c>
      <c r="K64" s="40">
        <v>-48532</v>
      </c>
      <c r="L64" s="40">
        <v>-129119</v>
      </c>
      <c r="M64" s="40">
        <v>-694</v>
      </c>
      <c r="N64" s="40">
        <v>1038168</v>
      </c>
      <c r="O64" s="40">
        <v>-95361</v>
      </c>
      <c r="P64" s="40">
        <v>-76561</v>
      </c>
      <c r="Q64" s="40">
        <f t="shared" ref="Q64:AA64" si="20">SUM(Q54:Q62)</f>
        <v>865552</v>
      </c>
      <c r="R64" s="40">
        <f t="shared" si="20"/>
        <v>-61149</v>
      </c>
      <c r="S64" s="40">
        <f>SUM(S54:S62)</f>
        <v>850221</v>
      </c>
      <c r="T64" s="40">
        <f t="shared" si="20"/>
        <v>-5992</v>
      </c>
      <c r="U64" s="40">
        <f t="shared" si="20"/>
        <v>-346864</v>
      </c>
      <c r="V64" s="40">
        <f t="shared" si="20"/>
        <v>436216</v>
      </c>
      <c r="W64" s="40">
        <f t="shared" si="20"/>
        <v>-186112</v>
      </c>
      <c r="X64" s="40">
        <f t="shared" si="20"/>
        <v>-138793</v>
      </c>
      <c r="Y64" s="40">
        <f t="shared" si="20"/>
        <v>-324905</v>
      </c>
      <c r="Z64" s="40">
        <f t="shared" si="20"/>
        <v>-107891</v>
      </c>
      <c r="AA64" s="40">
        <f t="shared" si="20"/>
        <v>-432796</v>
      </c>
      <c r="AB64" s="40">
        <v>-261930</v>
      </c>
      <c r="AC64" s="40">
        <v>-694726</v>
      </c>
      <c r="AD64" s="40">
        <f>SUM(AD54:AD62)</f>
        <v>-62417</v>
      </c>
      <c r="AE64" s="40">
        <f>SUM(AE53:AE62)</f>
        <v>513305</v>
      </c>
      <c r="AF64" s="40">
        <f>SUM(AF53:AF62)</f>
        <v>450888</v>
      </c>
      <c r="AG64" s="40">
        <f t="shared" ref="AG64:AJ64" si="21">SUM(AG53:AG62)</f>
        <v>-387287</v>
      </c>
      <c r="AH64" s="40">
        <f t="shared" si="21"/>
        <v>63601</v>
      </c>
      <c r="AI64" s="40">
        <f t="shared" si="21"/>
        <v>-581778</v>
      </c>
      <c r="AJ64" s="40">
        <f t="shared" si="21"/>
        <v>-518177</v>
      </c>
      <c r="AK64" s="40">
        <f t="shared" ref="AK64:AL64" si="22">SUM(AK53:AK62)</f>
        <v>-208165</v>
      </c>
      <c r="AL64" s="40">
        <f t="shared" si="22"/>
        <v>-255375</v>
      </c>
      <c r="AM64" s="40">
        <f t="shared" ref="AM64:AN64" si="23">SUM(AM53:AM62)</f>
        <v>-463540</v>
      </c>
      <c r="AN64" s="40">
        <f t="shared" si="23"/>
        <v>487293</v>
      </c>
      <c r="AO64" s="40">
        <f t="shared" ref="AO64:AP64" si="24">SUM(AO53:AO62)</f>
        <v>23753</v>
      </c>
      <c r="AP64" s="40">
        <f t="shared" si="24"/>
        <v>687867</v>
      </c>
      <c r="AQ64" s="40">
        <f t="shared" ref="AQ64" si="25">SUM(AQ53:AQ62)</f>
        <v>711620</v>
      </c>
      <c r="AR64" s="40">
        <v>-9646</v>
      </c>
      <c r="AS64" s="40">
        <f t="shared" ref="AS64:AT64" si="26">SUM(AS53:AS62)</f>
        <v>-110468</v>
      </c>
      <c r="AT64" s="40">
        <f t="shared" si="26"/>
        <v>-120114</v>
      </c>
    </row>
    <row r="65" spans="2:46">
      <c r="C65" s="12"/>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row>
    <row r="66" spans="2:46">
      <c r="B66" s="45" t="s">
        <v>54</v>
      </c>
      <c r="C66" s="12"/>
      <c r="D66" s="45" t="s">
        <v>665</v>
      </c>
      <c r="F66" s="13">
        <v>0</v>
      </c>
      <c r="G66" s="13">
        <v>0</v>
      </c>
      <c r="H66" s="13">
        <v>0</v>
      </c>
      <c r="I66" s="13">
        <v>0</v>
      </c>
      <c r="J66" s="13">
        <v>0</v>
      </c>
      <c r="K66" s="13">
        <v>0</v>
      </c>
      <c r="L66" s="13">
        <v>0</v>
      </c>
      <c r="M66" s="13">
        <v>0</v>
      </c>
      <c r="N66" s="13">
        <v>0</v>
      </c>
      <c r="O66" s="13">
        <v>0</v>
      </c>
      <c r="P66" s="13">
        <v>0</v>
      </c>
      <c r="Q66" s="13">
        <v>0</v>
      </c>
      <c r="R66" s="13">
        <v>1385</v>
      </c>
      <c r="S66" s="13">
        <v>-821</v>
      </c>
      <c r="T66" s="13">
        <v>-277</v>
      </c>
      <c r="U66" s="13">
        <v>310</v>
      </c>
      <c r="V66" s="13">
        <v>597</v>
      </c>
      <c r="W66" s="13">
        <v>226</v>
      </c>
      <c r="X66" s="13">
        <v>-426</v>
      </c>
      <c r="Y66" s="13">
        <v>-200</v>
      </c>
      <c r="Z66" s="13">
        <f>AA66-Y66</f>
        <v>447</v>
      </c>
      <c r="AA66" s="13">
        <v>247</v>
      </c>
      <c r="AB66" s="13">
        <v>0</v>
      </c>
      <c r="AC66" s="13">
        <v>247</v>
      </c>
      <c r="AD66" s="13">
        <v>0</v>
      </c>
      <c r="AE66" s="13">
        <v>0</v>
      </c>
      <c r="AF66" s="13">
        <v>0</v>
      </c>
      <c r="AG66" s="13">
        <v>0</v>
      </c>
      <c r="AH66" s="13">
        <v>0</v>
      </c>
      <c r="AI66" s="13">
        <v>0</v>
      </c>
      <c r="AJ66" s="13">
        <v>0</v>
      </c>
      <c r="AK66" s="13">
        <v>0</v>
      </c>
      <c r="AL66" s="13">
        <v>0</v>
      </c>
      <c r="AM66" s="13">
        <v>0</v>
      </c>
      <c r="AN66" s="13">
        <v>0</v>
      </c>
      <c r="AO66" s="13">
        <v>0</v>
      </c>
      <c r="AP66" s="13">
        <v>0</v>
      </c>
      <c r="AQ66" s="13">
        <v>0</v>
      </c>
      <c r="AR66" s="13">
        <v>0</v>
      </c>
      <c r="AS66" s="13">
        <v>0</v>
      </c>
      <c r="AT66" s="13">
        <f>AS66+AR66</f>
        <v>0</v>
      </c>
    </row>
    <row r="67" spans="2:46" ht="13.5" thickBot="1">
      <c r="C67" s="12"/>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row>
    <row r="68" spans="2:46" ht="13.5" thickBot="1">
      <c r="B68" s="28" t="s">
        <v>808</v>
      </c>
      <c r="C68" s="30"/>
      <c r="D68" s="28" t="s">
        <v>666</v>
      </c>
      <c r="E68" s="27"/>
      <c r="F68" s="41">
        <v>2877</v>
      </c>
      <c r="G68" s="41">
        <v>36238</v>
      </c>
      <c r="H68" s="41">
        <v>-24799</v>
      </c>
      <c r="I68" s="41">
        <v>3148</v>
      </c>
      <c r="J68" s="41">
        <v>-9878</v>
      </c>
      <c r="K68" s="41">
        <v>6125.0000000000291</v>
      </c>
      <c r="L68" s="41">
        <v>-25404</v>
      </c>
      <c r="M68" s="41">
        <v>13184.492819999985</v>
      </c>
      <c r="N68" s="41">
        <v>224909.50718000002</v>
      </c>
      <c r="O68" s="41">
        <v>123451</v>
      </c>
      <c r="P68" s="41">
        <v>-175247</v>
      </c>
      <c r="Q68" s="41">
        <v>186298</v>
      </c>
      <c r="R68" s="41">
        <v>-60692</v>
      </c>
      <c r="S68" s="41">
        <f t="shared" ref="S68:AA68" si="27">S64+S66+S49+S41</f>
        <v>88532</v>
      </c>
      <c r="T68" s="41">
        <f t="shared" si="27"/>
        <v>259668</v>
      </c>
      <c r="U68" s="41">
        <f t="shared" si="27"/>
        <v>-143639</v>
      </c>
      <c r="V68" s="41">
        <f t="shared" si="27"/>
        <v>143869</v>
      </c>
      <c r="W68" s="41">
        <f t="shared" si="27"/>
        <v>-155056</v>
      </c>
      <c r="X68" s="41">
        <f t="shared" si="27"/>
        <v>-116212</v>
      </c>
      <c r="Y68" s="41">
        <f t="shared" si="27"/>
        <v>-271268</v>
      </c>
      <c r="Z68" s="41">
        <f t="shared" si="27"/>
        <v>-11280</v>
      </c>
      <c r="AA68" s="41">
        <f t="shared" si="27"/>
        <v>-282548</v>
      </c>
      <c r="AB68" s="41">
        <v>118704</v>
      </c>
      <c r="AC68" s="41">
        <v>-163844</v>
      </c>
      <c r="AD68" s="41">
        <f>AD64+AD66+AD49+AD41</f>
        <v>104965</v>
      </c>
      <c r="AE68" s="41">
        <f>AE64+AE66+AE49+AE41</f>
        <v>108866</v>
      </c>
      <c r="AF68" s="41">
        <f>AF64+AF66+AF49+AF41</f>
        <v>213831</v>
      </c>
      <c r="AG68" s="41">
        <f t="shared" ref="AG68:AJ68" si="28">AG64+AG66+AG49+AG41</f>
        <v>9672</v>
      </c>
      <c r="AH68" s="41">
        <f t="shared" si="28"/>
        <v>223503</v>
      </c>
      <c r="AI68" s="41">
        <f t="shared" si="28"/>
        <v>-125139</v>
      </c>
      <c r="AJ68" s="41">
        <f t="shared" si="28"/>
        <v>98364</v>
      </c>
      <c r="AK68" s="41">
        <f t="shared" ref="AK68:AL68" si="29">AK64+AK66+AK49+AK41</f>
        <v>20073</v>
      </c>
      <c r="AL68" s="41">
        <f t="shared" si="29"/>
        <v>-93013</v>
      </c>
      <c r="AM68" s="41">
        <f t="shared" ref="AM68:AN68" si="30">AM64+AM66+AM49+AM41</f>
        <v>-72940</v>
      </c>
      <c r="AN68" s="41">
        <f t="shared" si="30"/>
        <v>55164</v>
      </c>
      <c r="AO68" s="41">
        <f t="shared" ref="AO68:AP68" si="31">AO64+AO66+AO49+AO41</f>
        <v>-17776</v>
      </c>
      <c r="AP68" s="41">
        <f t="shared" si="31"/>
        <v>-48264</v>
      </c>
      <c r="AQ68" s="41">
        <f t="shared" ref="AQ68" si="32">AQ64+AQ66+AQ49+AQ41</f>
        <v>-66040</v>
      </c>
      <c r="AR68" s="41">
        <v>43046</v>
      </c>
      <c r="AS68" s="41">
        <f t="shared" ref="AS68:AT68" si="33">AS64+AS66+AS49+AS41</f>
        <v>48438</v>
      </c>
      <c r="AT68" s="41">
        <f t="shared" si="33"/>
        <v>91484</v>
      </c>
    </row>
    <row r="69" spans="2:46" s="38" customFormat="1">
      <c r="B69" s="34"/>
      <c r="C69" s="35"/>
      <c r="D69" s="34"/>
      <c r="E69" s="36"/>
      <c r="F69" s="37"/>
      <c r="G69" s="37"/>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c r="AM69" s="37"/>
      <c r="AN69" s="37"/>
      <c r="AO69" s="37"/>
      <c r="AP69" s="37"/>
      <c r="AQ69" s="37"/>
      <c r="AR69" s="37"/>
      <c r="AS69" s="37"/>
      <c r="AT69" s="37"/>
    </row>
    <row r="70" spans="2:46">
      <c r="B70" s="45" t="s">
        <v>751</v>
      </c>
      <c r="C70" s="12"/>
      <c r="D70" s="45" t="s">
        <v>667</v>
      </c>
      <c r="F70" s="302">
        <v>17150</v>
      </c>
      <c r="G70" s="302">
        <v>20027</v>
      </c>
      <c r="H70" s="302">
        <v>56265</v>
      </c>
      <c r="I70" s="302">
        <v>31466</v>
      </c>
      <c r="J70" s="302">
        <v>34614</v>
      </c>
      <c r="K70" s="302">
        <v>24736</v>
      </c>
      <c r="L70" s="302">
        <v>56265</v>
      </c>
      <c r="M70" s="302">
        <v>30861</v>
      </c>
      <c r="N70" s="302">
        <v>44045.492820000014</v>
      </c>
      <c r="O70" s="302">
        <v>268955</v>
      </c>
      <c r="P70" s="302">
        <v>392406</v>
      </c>
      <c r="Q70" s="302">
        <v>30861</v>
      </c>
      <c r="R70" s="302">
        <v>217159</v>
      </c>
      <c r="S70" s="302">
        <v>156467</v>
      </c>
      <c r="T70" s="302">
        <v>244999</v>
      </c>
      <c r="U70" s="302">
        <v>504667</v>
      </c>
      <c r="V70" s="302">
        <v>217159</v>
      </c>
      <c r="W70" s="302">
        <v>361028</v>
      </c>
      <c r="X70" s="302">
        <v>205972</v>
      </c>
      <c r="Y70" s="302">
        <v>361028</v>
      </c>
      <c r="Z70" s="302">
        <v>89760</v>
      </c>
      <c r="AA70" s="302">
        <v>361028</v>
      </c>
      <c r="AB70" s="302">
        <v>78480</v>
      </c>
      <c r="AC70" s="302">
        <v>361028</v>
      </c>
      <c r="AD70" s="302">
        <v>197184</v>
      </c>
      <c r="AE70" s="302">
        <v>302149</v>
      </c>
      <c r="AF70" s="302">
        <v>197184</v>
      </c>
      <c r="AG70" s="302">
        <v>411015</v>
      </c>
      <c r="AH70" s="302">
        <v>197184</v>
      </c>
      <c r="AI70" s="303">
        <v>420687</v>
      </c>
      <c r="AJ70" s="302">
        <v>197184</v>
      </c>
      <c r="AK70" s="302">
        <v>295548</v>
      </c>
      <c r="AL70" s="302">
        <v>295548</v>
      </c>
      <c r="AM70" s="302">
        <v>295548</v>
      </c>
      <c r="AN70" s="302">
        <v>222608</v>
      </c>
      <c r="AO70" s="302">
        <v>295548</v>
      </c>
      <c r="AP70" s="302">
        <v>277772</v>
      </c>
      <c r="AQ70" s="302">
        <v>295548</v>
      </c>
      <c r="AR70" s="302">
        <v>229508</v>
      </c>
      <c r="AS70" s="302">
        <f>AR71</f>
        <v>272554</v>
      </c>
      <c r="AT70" s="302">
        <f>AQ71</f>
        <v>229508</v>
      </c>
    </row>
    <row r="71" spans="2:46">
      <c r="B71" s="45" t="s">
        <v>752</v>
      </c>
      <c r="C71" s="12"/>
      <c r="D71" s="45" t="s">
        <v>668</v>
      </c>
      <c r="F71" s="302">
        <v>20027</v>
      </c>
      <c r="G71" s="302">
        <v>56265</v>
      </c>
      <c r="H71" s="302">
        <v>31466</v>
      </c>
      <c r="I71" s="302">
        <v>34614</v>
      </c>
      <c r="J71" s="302">
        <v>24736</v>
      </c>
      <c r="K71" s="302">
        <v>30861.000000000029</v>
      </c>
      <c r="L71" s="302">
        <v>30861</v>
      </c>
      <c r="M71" s="302">
        <v>44045.492820000014</v>
      </c>
      <c r="N71" s="302">
        <v>268955</v>
      </c>
      <c r="O71" s="302">
        <v>392406</v>
      </c>
      <c r="P71" s="302">
        <v>217159</v>
      </c>
      <c r="Q71" s="302">
        <v>217159</v>
      </c>
      <c r="R71" s="302">
        <v>156467</v>
      </c>
      <c r="S71" s="302">
        <v>244999</v>
      </c>
      <c r="T71" s="302">
        <v>504667</v>
      </c>
      <c r="U71" s="302">
        <v>361028</v>
      </c>
      <c r="V71" s="302">
        <v>361028</v>
      </c>
      <c r="W71" s="302">
        <v>205972</v>
      </c>
      <c r="X71" s="302">
        <v>89760</v>
      </c>
      <c r="Y71" s="302">
        <v>89760</v>
      </c>
      <c r="Z71" s="302">
        <v>78480</v>
      </c>
      <c r="AA71" s="302">
        <v>78480</v>
      </c>
      <c r="AB71" s="302">
        <v>197184</v>
      </c>
      <c r="AC71" s="302">
        <v>197184</v>
      </c>
      <c r="AD71" s="302">
        <v>302149</v>
      </c>
      <c r="AE71" s="302">
        <v>411015</v>
      </c>
      <c r="AF71" s="302">
        <v>411015</v>
      </c>
      <c r="AG71" s="302">
        <v>420687</v>
      </c>
      <c r="AH71" s="302">
        <v>420687</v>
      </c>
      <c r="AI71" s="303">
        <v>295548</v>
      </c>
      <c r="AJ71" s="302">
        <v>295548</v>
      </c>
      <c r="AK71" s="302">
        <v>315621</v>
      </c>
      <c r="AL71" s="302">
        <v>222608</v>
      </c>
      <c r="AM71" s="302">
        <v>222608</v>
      </c>
      <c r="AN71" s="302">
        <v>277772</v>
      </c>
      <c r="AO71" s="302">
        <v>277772</v>
      </c>
      <c r="AP71" s="302">
        <v>229508</v>
      </c>
      <c r="AQ71" s="302">
        <v>229508</v>
      </c>
      <c r="AR71" s="302">
        <v>272554</v>
      </c>
      <c r="AS71" s="302">
        <v>320992</v>
      </c>
      <c r="AT71" s="302">
        <f>AS71</f>
        <v>320992</v>
      </c>
    </row>
    <row r="72" spans="2:46" ht="4.5" customHeight="1" thickBot="1">
      <c r="B72" s="10"/>
      <c r="C72" s="15"/>
      <c r="D72" s="10"/>
      <c r="E72" s="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2:46" ht="13.5" thickBot="1">
      <c r="B73" s="28" t="s">
        <v>808</v>
      </c>
      <c r="C73" s="26"/>
      <c r="D73" s="28" t="s">
        <v>666</v>
      </c>
      <c r="E73" s="27"/>
      <c r="F73" s="41">
        <f>F71-F70</f>
        <v>2877</v>
      </c>
      <c r="G73" s="41">
        <f t="shared" ref="G73:AQ73" si="34">G71-G70</f>
        <v>36238</v>
      </c>
      <c r="H73" s="41">
        <f t="shared" si="34"/>
        <v>-24799</v>
      </c>
      <c r="I73" s="41">
        <f t="shared" si="34"/>
        <v>3148</v>
      </c>
      <c r="J73" s="41">
        <f t="shared" si="34"/>
        <v>-9878</v>
      </c>
      <c r="K73" s="41">
        <f t="shared" si="34"/>
        <v>6125.0000000000291</v>
      </c>
      <c r="L73" s="41">
        <f t="shared" si="34"/>
        <v>-25404</v>
      </c>
      <c r="M73" s="41">
        <f t="shared" si="34"/>
        <v>13184.492820000014</v>
      </c>
      <c r="N73" s="41">
        <f t="shared" si="34"/>
        <v>224909.50717999999</v>
      </c>
      <c r="O73" s="41">
        <f t="shared" si="34"/>
        <v>123451</v>
      </c>
      <c r="P73" s="41">
        <f t="shared" si="34"/>
        <v>-175247</v>
      </c>
      <c r="Q73" s="41">
        <f t="shared" si="34"/>
        <v>186298</v>
      </c>
      <c r="R73" s="41">
        <f t="shared" si="34"/>
        <v>-60692</v>
      </c>
      <c r="S73" s="41">
        <f t="shared" si="34"/>
        <v>88532</v>
      </c>
      <c r="T73" s="41">
        <f t="shared" si="34"/>
        <v>259668</v>
      </c>
      <c r="U73" s="41">
        <f t="shared" si="34"/>
        <v>-143639</v>
      </c>
      <c r="V73" s="41">
        <f t="shared" si="34"/>
        <v>143869</v>
      </c>
      <c r="W73" s="41">
        <f t="shared" si="34"/>
        <v>-155056</v>
      </c>
      <c r="X73" s="41">
        <f t="shared" si="34"/>
        <v>-116212</v>
      </c>
      <c r="Y73" s="41">
        <f t="shared" si="34"/>
        <v>-271268</v>
      </c>
      <c r="Z73" s="41">
        <f t="shared" si="34"/>
        <v>-11280</v>
      </c>
      <c r="AA73" s="41">
        <f t="shared" si="34"/>
        <v>-282548</v>
      </c>
      <c r="AB73" s="41">
        <f t="shared" si="34"/>
        <v>118704</v>
      </c>
      <c r="AC73" s="41">
        <f t="shared" si="34"/>
        <v>-163844</v>
      </c>
      <c r="AD73" s="41">
        <f t="shared" si="34"/>
        <v>104965</v>
      </c>
      <c r="AE73" s="41">
        <f t="shared" si="34"/>
        <v>108866</v>
      </c>
      <c r="AF73" s="41">
        <f t="shared" si="34"/>
        <v>213831</v>
      </c>
      <c r="AG73" s="41">
        <f t="shared" si="34"/>
        <v>9672</v>
      </c>
      <c r="AH73" s="41">
        <f t="shared" si="34"/>
        <v>223503</v>
      </c>
      <c r="AI73" s="41">
        <f t="shared" si="34"/>
        <v>-125139</v>
      </c>
      <c r="AJ73" s="41">
        <f t="shared" si="34"/>
        <v>98364</v>
      </c>
      <c r="AK73" s="41">
        <f t="shared" si="34"/>
        <v>20073</v>
      </c>
      <c r="AL73" s="41">
        <f t="shared" si="34"/>
        <v>-72940</v>
      </c>
      <c r="AM73" s="41">
        <f t="shared" si="34"/>
        <v>-72940</v>
      </c>
      <c r="AN73" s="41">
        <f t="shared" si="34"/>
        <v>55164</v>
      </c>
      <c r="AO73" s="41">
        <f t="shared" si="34"/>
        <v>-17776</v>
      </c>
      <c r="AP73" s="41">
        <f t="shared" si="34"/>
        <v>-48264</v>
      </c>
      <c r="AQ73" s="41">
        <f t="shared" si="34"/>
        <v>-66040</v>
      </c>
      <c r="AR73" s="41">
        <v>43046</v>
      </c>
      <c r="AS73" s="41">
        <f t="shared" ref="AS73:AT73" si="35">AS71-AS70</f>
        <v>48438</v>
      </c>
      <c r="AT73" s="41">
        <f t="shared" si="35"/>
        <v>91484</v>
      </c>
    </row>
    <row r="74" spans="2:46">
      <c r="B74" s="10"/>
      <c r="D74" s="10"/>
      <c r="E74" s="1"/>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row>
    <row r="75" spans="2:46" hidden="1">
      <c r="B75" s="1"/>
      <c r="D75" s="1"/>
      <c r="F75" s="13">
        <f t="shared" ref="F75:AD75" si="36">F68-F73</f>
        <v>0</v>
      </c>
      <c r="G75" s="13">
        <f t="shared" si="36"/>
        <v>0</v>
      </c>
      <c r="H75" s="13">
        <f t="shared" si="36"/>
        <v>0</v>
      </c>
      <c r="I75" s="13">
        <f>I68-I73</f>
        <v>0</v>
      </c>
      <c r="J75" s="13">
        <f>J68-J73</f>
        <v>0</v>
      </c>
      <c r="K75" s="13">
        <f>K68-K73</f>
        <v>0</v>
      </c>
      <c r="L75" s="13">
        <f t="shared" si="36"/>
        <v>0</v>
      </c>
      <c r="M75" s="237">
        <f t="shared" si="36"/>
        <v>-2.9103830456733704E-11</v>
      </c>
      <c r="N75" s="13">
        <f>N68-N73</f>
        <v>0</v>
      </c>
      <c r="O75" s="13">
        <f>O68-O73</f>
        <v>0</v>
      </c>
      <c r="P75" s="13">
        <f t="shared" si="36"/>
        <v>0</v>
      </c>
      <c r="Q75" s="13">
        <f t="shared" si="36"/>
        <v>0</v>
      </c>
      <c r="R75" s="13">
        <f t="shared" si="36"/>
        <v>0</v>
      </c>
      <c r="S75" s="13">
        <f t="shared" si="36"/>
        <v>0</v>
      </c>
      <c r="T75" s="13">
        <f t="shared" si="36"/>
        <v>0</v>
      </c>
      <c r="U75" s="13">
        <f t="shared" si="36"/>
        <v>0</v>
      </c>
      <c r="V75" s="13">
        <f t="shared" si="36"/>
        <v>0</v>
      </c>
      <c r="W75" s="13">
        <f t="shared" si="36"/>
        <v>0</v>
      </c>
      <c r="X75" s="13">
        <f t="shared" si="36"/>
        <v>0</v>
      </c>
      <c r="Y75" s="13">
        <f t="shared" si="36"/>
        <v>0</v>
      </c>
      <c r="Z75" s="13">
        <f t="shared" si="36"/>
        <v>0</v>
      </c>
      <c r="AA75" s="13">
        <f t="shared" si="36"/>
        <v>0</v>
      </c>
      <c r="AB75" s="13">
        <f>AB68-AB73</f>
        <v>0</v>
      </c>
      <c r="AC75" s="13">
        <f t="shared" si="36"/>
        <v>0</v>
      </c>
      <c r="AD75" s="13">
        <f t="shared" si="36"/>
        <v>0</v>
      </c>
      <c r="AE75" s="13"/>
      <c r="AF75" s="13"/>
      <c r="AG75" s="13"/>
      <c r="AH75" s="13"/>
      <c r="AI75" s="13"/>
      <c r="AJ75" s="13"/>
    </row>
    <row r="76" spans="2:46">
      <c r="B76" s="1"/>
      <c r="D76" s="1"/>
      <c r="F76" s="16"/>
      <c r="G76" s="16"/>
      <c r="H76" s="16"/>
      <c r="I76" s="16"/>
      <c r="J76" s="16"/>
      <c r="K76" s="16"/>
      <c r="L76" s="13">
        <f>L41+L47</f>
        <v>228544</v>
      </c>
      <c r="M76" s="13">
        <f t="shared" ref="M76:AM76" si="37">M41+M47</f>
        <v>11655.492819999985</v>
      </c>
      <c r="N76" s="13">
        <f t="shared" si="37"/>
        <v>59638.507180000015</v>
      </c>
      <c r="O76" s="13">
        <f t="shared" si="37"/>
        <v>11568</v>
      </c>
      <c r="P76" s="13">
        <f t="shared" si="37"/>
        <v>-276244</v>
      </c>
      <c r="Q76" s="13">
        <f t="shared" si="37"/>
        <v>-193382</v>
      </c>
      <c r="R76" s="13">
        <f t="shared" si="37"/>
        <v>19163</v>
      </c>
      <c r="S76" s="13">
        <f t="shared" si="37"/>
        <v>67469</v>
      </c>
      <c r="T76" s="13">
        <f t="shared" si="37"/>
        <v>123906</v>
      </c>
      <c r="U76" s="13">
        <f t="shared" si="37"/>
        <v>67995</v>
      </c>
      <c r="V76" s="13">
        <f t="shared" si="37"/>
        <v>278533</v>
      </c>
      <c r="W76" s="13">
        <f t="shared" si="37"/>
        <v>878</v>
      </c>
      <c r="X76" s="13">
        <f t="shared" si="37"/>
        <v>-2760</v>
      </c>
      <c r="Y76" s="13">
        <f t="shared" si="37"/>
        <v>-1882</v>
      </c>
      <c r="Z76" s="13">
        <f t="shared" si="37"/>
        <v>16637</v>
      </c>
      <c r="AA76" s="13">
        <f t="shared" si="37"/>
        <v>14755</v>
      </c>
      <c r="AB76" s="13">
        <f t="shared" si="37"/>
        <v>10602</v>
      </c>
      <c r="AC76" s="13">
        <f t="shared" si="37"/>
        <v>25357</v>
      </c>
      <c r="AD76" s="13">
        <f t="shared" si="37"/>
        <v>231323</v>
      </c>
      <c r="AE76" s="13">
        <f t="shared" si="37"/>
        <v>391803</v>
      </c>
      <c r="AF76" s="13">
        <f t="shared" si="37"/>
        <v>623126</v>
      </c>
      <c r="AG76" s="13">
        <f t="shared" si="37"/>
        <v>267724</v>
      </c>
      <c r="AH76" s="13">
        <f t="shared" si="37"/>
        <v>890850</v>
      </c>
      <c r="AI76" s="13">
        <f t="shared" si="37"/>
        <v>142870</v>
      </c>
      <c r="AJ76" s="13">
        <f t="shared" si="37"/>
        <v>1033720</v>
      </c>
      <c r="AK76" s="13">
        <f t="shared" si="37"/>
        <v>207217</v>
      </c>
      <c r="AL76" s="13">
        <f t="shared" si="37"/>
        <v>-99864</v>
      </c>
      <c r="AM76" s="13">
        <f t="shared" si="37"/>
        <v>107353</v>
      </c>
      <c r="AN76" s="13">
        <f t="shared" ref="AN76:AO76" si="38">AN41+AN47</f>
        <v>-221391</v>
      </c>
      <c r="AO76" s="13">
        <f t="shared" si="38"/>
        <v>-114038</v>
      </c>
      <c r="AP76" s="13">
        <f t="shared" ref="AP76:AQ76" si="39">AP41+AP47</f>
        <v>-20876</v>
      </c>
      <c r="AQ76" s="13">
        <f t="shared" si="39"/>
        <v>-134914</v>
      </c>
      <c r="AR76" s="13">
        <v>80094</v>
      </c>
      <c r="AS76" s="13">
        <f t="shared" ref="AS76:AT76" si="40">AS41+AS47</f>
        <v>74003</v>
      </c>
      <c r="AT76" s="13">
        <f t="shared" si="40"/>
        <v>154097</v>
      </c>
    </row>
    <row r="77" spans="2:46">
      <c r="B77" s="1"/>
      <c r="D77" s="1"/>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row>
  </sheetData>
  <phoneticPr fontId="88" type="noConversion"/>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08C2B-29C1-467F-8AC7-0982C466E969}">
  <dimension ref="B2:BQ67"/>
  <sheetViews>
    <sheetView showGridLines="0" zoomScale="69" zoomScaleNormal="85" workbookViewId="0">
      <selection activeCell="G20" sqref="G20"/>
    </sheetView>
  </sheetViews>
  <sheetFormatPr defaultRowHeight="15.5"/>
  <cols>
    <col min="1" max="1" width="5.54296875" style="305" customWidth="1"/>
    <col min="2" max="2" width="40.54296875" style="305" customWidth="1"/>
    <col min="3" max="3" width="12.1796875" style="305" customWidth="1"/>
    <col min="4" max="4" width="18.26953125" style="305" customWidth="1"/>
    <col min="5" max="7" width="12.1796875" style="305" customWidth="1"/>
    <col min="8" max="8" width="1" style="305" customWidth="1"/>
    <col min="9" max="9" width="9.7265625" style="305" customWidth="1"/>
    <col min="10" max="10" width="12.453125" style="305" bestFit="1" customWidth="1"/>
    <col min="11" max="11" width="35.7265625" style="305" bestFit="1" customWidth="1"/>
    <col min="12" max="12" width="11.26953125" style="305" bestFit="1" customWidth="1"/>
    <col min="13" max="13" width="19.54296875" style="305" customWidth="1"/>
    <col min="14" max="14" width="2.1796875" style="305" customWidth="1"/>
    <col min="15" max="15" width="12.7265625" style="305" bestFit="1" customWidth="1"/>
    <col min="16" max="16" width="2.1796875" style="305" customWidth="1"/>
    <col min="17" max="17" width="15.1796875" style="305" customWidth="1"/>
    <col min="18" max="18" width="2.1796875" style="305" customWidth="1"/>
    <col min="19" max="19" width="18.54296875" style="305" customWidth="1"/>
    <col min="20" max="20" width="2.1796875" style="305" customWidth="1"/>
    <col min="21" max="21" width="12.26953125" style="305" customWidth="1"/>
    <col min="22" max="22" width="2.1796875" style="305" customWidth="1"/>
    <col min="23" max="23" width="22.81640625" style="305" customWidth="1"/>
    <col min="24" max="24" width="14" style="305" bestFit="1" customWidth="1"/>
    <col min="25" max="26" width="10.54296875" style="305" customWidth="1"/>
    <col min="27" max="27" width="12.1796875" style="305" customWidth="1"/>
    <col min="28" max="28" width="8.81640625" style="305" customWidth="1"/>
    <col min="29" max="29" width="1.7265625" style="305" customWidth="1"/>
    <col min="30" max="30" width="41.7265625" style="305" customWidth="1"/>
    <col min="31" max="31" width="2.26953125" style="305" hidden="1" customWidth="1"/>
    <col min="32" max="32" width="7.54296875" style="305" hidden="1" customWidth="1"/>
    <col min="33" max="33" width="1.26953125" style="305" hidden="1" customWidth="1"/>
    <col min="34" max="34" width="8.1796875" style="305" hidden="1" customWidth="1"/>
    <col min="35" max="35" width="0.6328125" style="305" customWidth="1"/>
    <col min="36" max="36" width="8.54296875" style="305" hidden="1" customWidth="1"/>
    <col min="37" max="37" width="4.81640625" style="305" hidden="1" customWidth="1"/>
    <col min="38" max="38" width="7.1796875" style="305" hidden="1" customWidth="1"/>
    <col min="39" max="39" width="4.54296875" style="305" hidden="1" customWidth="1"/>
    <col min="40" max="40" width="10.81640625" style="305" customWidth="1"/>
    <col min="41" max="41" width="0.6328125" style="305" customWidth="1"/>
    <col min="42" max="42" width="10.81640625" style="305" customWidth="1"/>
    <col min="43" max="43" width="0.6328125" style="305" customWidth="1"/>
    <col min="44" max="44" width="2.453125" style="305" hidden="1" customWidth="1"/>
    <col min="45" max="45" width="10.81640625" style="305" customWidth="1"/>
    <col min="46" max="46" width="0.6328125" style="305" customWidth="1"/>
    <col min="47" max="47" width="10.81640625" style="305" customWidth="1"/>
    <col min="48" max="48" width="0.81640625" style="305" customWidth="1"/>
    <col min="49" max="49" width="11" style="305" customWidth="1"/>
    <col min="50" max="50" width="0.81640625" style="305" customWidth="1"/>
    <col min="51" max="51" width="10.81640625" style="305" customWidth="1"/>
    <col min="52" max="52" width="0.81640625" style="305" customWidth="1"/>
    <col min="53" max="53" width="11" style="305" customWidth="1"/>
    <col min="54" max="54" width="0.81640625" style="305" customWidth="1"/>
    <col min="55" max="55" width="8.81640625" style="305" bestFit="1" customWidth="1"/>
    <col min="56" max="56" width="2.453125" style="305" customWidth="1"/>
    <col min="57" max="57" width="8.81640625" style="305" bestFit="1" customWidth="1"/>
    <col min="58" max="58" width="2.453125" style="305" customWidth="1"/>
    <col min="59" max="59" width="8.81640625" style="305" bestFit="1" customWidth="1"/>
    <col min="60" max="60" width="2.453125" style="305" customWidth="1"/>
    <col min="61" max="61" width="8.81640625" style="305" bestFit="1" customWidth="1"/>
    <col min="62" max="62" width="2.453125" style="305" customWidth="1"/>
    <col min="63" max="63" width="8.81640625" style="305" bestFit="1" customWidth="1"/>
    <col min="64" max="64" width="1.6328125" style="305" customWidth="1"/>
    <col min="65" max="65" width="9.1796875" style="305" customWidth="1"/>
    <col min="66" max="66" width="1.6328125" style="305" customWidth="1"/>
    <col min="67" max="67" width="8.7265625" style="305"/>
    <col min="68" max="68" width="1.6328125" style="305" customWidth="1"/>
    <col min="69" max="16384" width="8.7265625" style="305"/>
  </cols>
  <sheetData>
    <row r="2" spans="2:69">
      <c r="C2" s="306" t="s">
        <v>959</v>
      </c>
    </row>
    <row r="3" spans="2:69" ht="31">
      <c r="K3" s="307"/>
      <c r="L3" s="308"/>
      <c r="M3" s="309" t="s">
        <v>1213</v>
      </c>
      <c r="N3" s="309"/>
      <c r="O3" s="309" t="s">
        <v>948</v>
      </c>
      <c r="P3" s="309"/>
      <c r="Q3" s="309" t="s">
        <v>951</v>
      </c>
      <c r="R3" s="309"/>
      <c r="S3" s="309" t="s">
        <v>949</v>
      </c>
      <c r="T3" s="309"/>
      <c r="U3" s="309" t="s">
        <v>1212</v>
      </c>
      <c r="V3" s="309"/>
      <c r="W3" s="309" t="s">
        <v>1243</v>
      </c>
      <c r="Z3" s="310"/>
    </row>
    <row r="4" spans="2:69">
      <c r="K4" s="311" t="s">
        <v>993</v>
      </c>
      <c r="L4" s="312"/>
      <c r="M4" s="313"/>
      <c r="N4" s="313"/>
      <c r="O4" s="313"/>
      <c r="P4" s="313"/>
      <c r="Q4" s="312"/>
      <c r="R4" s="312"/>
      <c r="S4" s="312"/>
      <c r="T4" s="312"/>
      <c r="U4" s="312"/>
      <c r="V4" s="312"/>
      <c r="W4" s="312"/>
      <c r="X4" s="314"/>
      <c r="Y4" s="314"/>
      <c r="Z4" s="314"/>
    </row>
    <row r="5" spans="2:69">
      <c r="K5" s="315" t="s">
        <v>953</v>
      </c>
      <c r="L5" s="312"/>
      <c r="M5" s="316">
        <v>718521</v>
      </c>
      <c r="N5" s="316"/>
      <c r="O5" s="316">
        <v>9879.4110000000001</v>
      </c>
      <c r="P5" s="316"/>
      <c r="Q5" s="316">
        <v>0</v>
      </c>
      <c r="R5" s="316"/>
      <c r="S5" s="316">
        <v>19070.898000000001</v>
      </c>
      <c r="T5" s="312"/>
      <c r="U5" s="316"/>
      <c r="V5" s="312"/>
      <c r="W5" s="316">
        <f>SUM(M5:U5)</f>
        <v>747471.30900000001</v>
      </c>
      <c r="X5" s="317"/>
      <c r="Y5" s="317"/>
      <c r="Z5" s="317"/>
      <c r="AA5" s="310"/>
    </row>
    <row r="6" spans="2:69" ht="16" thickBot="1">
      <c r="B6" s="318" t="s">
        <v>1228</v>
      </c>
      <c r="C6" s="318" t="s">
        <v>948</v>
      </c>
      <c r="D6" s="318" t="s">
        <v>949</v>
      </c>
      <c r="E6" s="318" t="s">
        <v>950</v>
      </c>
      <c r="F6" s="318" t="s">
        <v>1119</v>
      </c>
      <c r="G6" s="318" t="s">
        <v>555</v>
      </c>
      <c r="H6" s="319"/>
      <c r="I6" s="320"/>
      <c r="K6" s="315" t="s">
        <v>1189</v>
      </c>
      <c r="L6" s="312"/>
      <c r="M6" s="316">
        <v>0</v>
      </c>
      <c r="N6" s="312"/>
      <c r="O6" s="316">
        <v>0</v>
      </c>
      <c r="P6" s="316"/>
      <c r="Q6" s="316">
        <f>0</f>
        <v>0</v>
      </c>
      <c r="R6" s="316"/>
      <c r="S6" s="316">
        <v>0</v>
      </c>
      <c r="T6" s="312"/>
      <c r="U6" s="316"/>
      <c r="V6" s="312"/>
      <c r="W6" s="316">
        <f t="shared" ref="W6:W14" si="0">SUM(M6:U6)</f>
        <v>0</v>
      </c>
      <c r="AD6" s="321" t="s">
        <v>1229</v>
      </c>
      <c r="AF6" s="322" t="s">
        <v>884</v>
      </c>
      <c r="AH6" s="322" t="s">
        <v>991</v>
      </c>
      <c r="AJ6" s="322" t="s">
        <v>1004</v>
      </c>
      <c r="AL6" s="322" t="s">
        <v>1005</v>
      </c>
      <c r="AN6" s="322" t="s">
        <v>1093</v>
      </c>
      <c r="AP6" s="322" t="s">
        <v>1006</v>
      </c>
      <c r="AS6" s="322" t="s">
        <v>1092</v>
      </c>
      <c r="AU6" s="322" t="s">
        <v>1007</v>
      </c>
      <c r="AW6" s="322">
        <v>2024</v>
      </c>
      <c r="AY6" s="322" t="s">
        <v>1008</v>
      </c>
      <c r="BA6" s="322" t="s">
        <v>1067</v>
      </c>
      <c r="BC6" s="322" t="s">
        <v>1174</v>
      </c>
      <c r="BE6" s="322" t="s">
        <v>1068</v>
      </c>
      <c r="BG6" s="322" t="s">
        <v>1188</v>
      </c>
      <c r="BI6" s="322" t="s">
        <v>1069</v>
      </c>
      <c r="BK6" s="322">
        <v>2025</v>
      </c>
      <c r="BM6" s="322" t="s">
        <v>1066</v>
      </c>
      <c r="BO6" s="322" t="s">
        <v>1242</v>
      </c>
      <c r="BQ6" s="322" t="s">
        <v>1244</v>
      </c>
    </row>
    <row r="7" spans="2:69">
      <c r="B7" s="315" t="s">
        <v>1002</v>
      </c>
      <c r="C7" s="323">
        <v>150.34396111999988</v>
      </c>
      <c r="D7" s="323">
        <v>48.507349840000231</v>
      </c>
      <c r="E7" s="323">
        <v>198.85131096000009</v>
      </c>
      <c r="F7" s="323">
        <v>-2.3801771999999999</v>
      </c>
      <c r="G7" s="323">
        <v>196.4711337600001</v>
      </c>
      <c r="H7" s="317"/>
      <c r="I7" s="324"/>
      <c r="K7" s="366" t="s">
        <v>1230</v>
      </c>
      <c r="L7" s="367"/>
      <c r="M7" s="323">
        <v>72171</v>
      </c>
      <c r="N7" s="323"/>
      <c r="O7" s="323">
        <v>13663.380000000001</v>
      </c>
      <c r="P7" s="323"/>
      <c r="Q7" s="323">
        <v>0</v>
      </c>
      <c r="R7" s="323"/>
      <c r="S7" s="323">
        <v>-16072.696939999994</v>
      </c>
      <c r="T7" s="367"/>
      <c r="U7" s="323"/>
      <c r="V7" s="367"/>
      <c r="W7" s="323">
        <f t="shared" si="0"/>
        <v>69761.68306000001</v>
      </c>
      <c r="AD7" s="325" t="s">
        <v>1002</v>
      </c>
      <c r="AF7" s="317">
        <v>205.2</v>
      </c>
      <c r="AH7" s="317">
        <v>187.76499999999999</v>
      </c>
      <c r="AJ7" s="317">
        <v>162.96799999999999</v>
      </c>
      <c r="AL7" s="317">
        <v>156.28199999999998</v>
      </c>
      <c r="AN7" s="317">
        <f>AL7+AJ7</f>
        <v>319.25</v>
      </c>
      <c r="AP7" s="317">
        <v>184.07200000000006</v>
      </c>
      <c r="AS7" s="317">
        <f>AP7+AN7</f>
        <v>503.32200000000006</v>
      </c>
      <c r="AU7" s="317">
        <v>279.72200000000009</v>
      </c>
      <c r="AW7" s="317">
        <f>AU7+AS7</f>
        <v>783.0440000000001</v>
      </c>
      <c r="AY7" s="317">
        <v>222.4</v>
      </c>
      <c r="BA7" s="317">
        <v>287.14400000000001</v>
      </c>
      <c r="BC7" s="317">
        <f>BA7+AY7</f>
        <v>509.54399999999998</v>
      </c>
      <c r="BE7" s="317">
        <v>286.72800000000007</v>
      </c>
      <c r="BG7" s="317">
        <f>AY7+BA7+BE7</f>
        <v>796.27200000000005</v>
      </c>
      <c r="BI7" s="317">
        <v>209.84399999999994</v>
      </c>
      <c r="BK7" s="317">
        <f>BI7+BE7+BA7+AY7</f>
        <v>1006.116</v>
      </c>
      <c r="BM7" s="317">
        <v>196.4711337600001</v>
      </c>
      <c r="BO7" s="317">
        <f>BQ7-BM7</f>
        <v>173.53253717999991</v>
      </c>
      <c r="BQ7" s="317">
        <f>G23</f>
        <v>370.00367094000001</v>
      </c>
    </row>
    <row r="8" spans="2:69">
      <c r="B8" s="315" t="s">
        <v>1003</v>
      </c>
      <c r="C8" s="323">
        <v>35.804836459999059</v>
      </c>
      <c r="D8" s="323">
        <v>-47.876883970000193</v>
      </c>
      <c r="E8" s="323">
        <v>-12.072047510001134</v>
      </c>
      <c r="F8" s="323">
        <v>-2.3429458399997847</v>
      </c>
      <c r="G8" s="323">
        <v>-14.41499335000092</v>
      </c>
      <c r="H8" s="317"/>
      <c r="I8" s="324"/>
      <c r="K8" s="366" t="s">
        <v>1231</v>
      </c>
      <c r="L8" s="367"/>
      <c r="M8" s="323">
        <v>2931329</v>
      </c>
      <c r="N8" s="323"/>
      <c r="O8" s="323">
        <v>0</v>
      </c>
      <c r="P8" s="323"/>
      <c r="Q8" s="323">
        <v>0</v>
      </c>
      <c r="R8" s="323"/>
      <c r="S8" s="323">
        <v>0</v>
      </c>
      <c r="T8" s="367"/>
      <c r="U8" s="323"/>
      <c r="V8" s="367"/>
      <c r="W8" s="323">
        <f t="shared" si="0"/>
        <v>2931329</v>
      </c>
      <c r="AD8" s="325" t="s">
        <v>1003</v>
      </c>
      <c r="AF8" s="317">
        <v>51.5</v>
      </c>
      <c r="AH8" s="317">
        <v>2.1709999999999354</v>
      </c>
      <c r="AJ8" s="317">
        <v>-23.993999999999993</v>
      </c>
      <c r="AL8" s="317">
        <v>-28.539000000000009</v>
      </c>
      <c r="AN8" s="317">
        <f>AL8+AJ8</f>
        <v>-52.533000000000001</v>
      </c>
      <c r="AP8" s="317">
        <v>-20.970000000000041</v>
      </c>
      <c r="AS8" s="317">
        <f>AP8+AN8</f>
        <v>-73.503000000000043</v>
      </c>
      <c r="AU8" s="317">
        <v>-21</v>
      </c>
      <c r="AW8" s="317">
        <f>AU8+AS8</f>
        <v>-94.503000000000043</v>
      </c>
      <c r="AY8" s="317">
        <v>9.5069999999999997</v>
      </c>
      <c r="BA8" s="317">
        <v>18.493000000000002</v>
      </c>
      <c r="BC8" s="317">
        <f>BA8+AY8</f>
        <v>28</v>
      </c>
      <c r="BE8" s="317">
        <v>-4</v>
      </c>
      <c r="BG8" s="317">
        <f>AY8+BA8+BE8</f>
        <v>24</v>
      </c>
      <c r="BI8" s="317">
        <v>3</v>
      </c>
      <c r="BK8" s="317">
        <f t="shared" ref="BK8:BK10" si="1">BI8+BE8+BA8+AY8</f>
        <v>27</v>
      </c>
      <c r="BM8" s="317">
        <v>-14.41499335000092</v>
      </c>
      <c r="BO8" s="317">
        <f>BQ8-BM8</f>
        <v>-9.4680086499990956</v>
      </c>
      <c r="BQ8" s="317">
        <f>G24</f>
        <v>-23.883002000000015</v>
      </c>
    </row>
    <row r="9" spans="2:69">
      <c r="B9" s="315" t="s">
        <v>1191</v>
      </c>
      <c r="C9" s="323">
        <v>1.625565E-2</v>
      </c>
      <c r="D9" s="323">
        <v>5.684341886080802E-19</v>
      </c>
      <c r="E9" s="323">
        <v>1.625565E-2</v>
      </c>
      <c r="F9" s="323">
        <v>0</v>
      </c>
      <c r="G9" s="323">
        <v>1.625565E-2</v>
      </c>
      <c r="I9" s="324"/>
      <c r="K9" s="366" t="s">
        <v>995</v>
      </c>
      <c r="L9" s="367"/>
      <c r="M9" s="323">
        <v>5186676</v>
      </c>
      <c r="N9" s="323"/>
      <c r="O9" s="323">
        <v>289483.39870000037</v>
      </c>
      <c r="P9" s="323"/>
      <c r="Q9" s="323">
        <v>-4144.2479999999996</v>
      </c>
      <c r="R9" s="323"/>
      <c r="S9" s="323">
        <v>84664.520239999663</v>
      </c>
      <c r="T9" s="367"/>
      <c r="U9" s="323"/>
      <c r="V9" s="367"/>
      <c r="W9" s="323">
        <f t="shared" si="0"/>
        <v>5556679.6709400006</v>
      </c>
      <c r="AD9" s="325" t="s">
        <v>1190</v>
      </c>
      <c r="AF9" s="317">
        <v>0</v>
      </c>
      <c r="AH9" s="317">
        <v>1.6640000000000004</v>
      </c>
      <c r="AJ9" s="317">
        <v>9.4E-2</v>
      </c>
      <c r="AL9" s="317">
        <v>0</v>
      </c>
      <c r="AN9" s="317">
        <f>AL9+AJ9</f>
        <v>9.4E-2</v>
      </c>
      <c r="AP9" s="317">
        <v>0</v>
      </c>
      <c r="AS9" s="317">
        <f>AP9+AN9</f>
        <v>9.4E-2</v>
      </c>
      <c r="AU9" s="317">
        <v>0</v>
      </c>
      <c r="AW9" s="317">
        <v>0</v>
      </c>
      <c r="AY9" s="317">
        <v>0</v>
      </c>
      <c r="BA9" s="317">
        <v>37</v>
      </c>
      <c r="BC9" s="317">
        <f>BA9+AY9</f>
        <v>37</v>
      </c>
      <c r="BE9" s="317">
        <v>260.01302107999993</v>
      </c>
      <c r="BG9" s="317">
        <f>AY9+BA9+BE9</f>
        <v>297.01302107999993</v>
      </c>
      <c r="BI9" s="317">
        <v>34.261828920000085</v>
      </c>
      <c r="BK9" s="317">
        <f t="shared" si="1"/>
        <v>331.27485000000001</v>
      </c>
      <c r="BM9" s="317">
        <v>0</v>
      </c>
      <c r="BO9" s="317">
        <f>BQ9-BM9</f>
        <v>9.8794109999999993</v>
      </c>
      <c r="BQ9" s="317">
        <f>G26</f>
        <v>9.8794109999999993</v>
      </c>
    </row>
    <row r="10" spans="2:69" ht="16" thickBot="1">
      <c r="B10" s="315" t="s">
        <v>1190</v>
      </c>
      <c r="C10" s="323">
        <v>0</v>
      </c>
      <c r="D10" s="323">
        <v>0</v>
      </c>
      <c r="E10" s="323">
        <v>0</v>
      </c>
      <c r="F10" s="323">
        <v>0</v>
      </c>
      <c r="G10" s="323">
        <v>0</v>
      </c>
      <c r="H10" s="317"/>
      <c r="I10" s="324"/>
      <c r="K10" s="366" t="s">
        <v>1232</v>
      </c>
      <c r="L10" s="367"/>
      <c r="M10" s="323">
        <v>20157</v>
      </c>
      <c r="N10" s="323"/>
      <c r="O10" s="323">
        <v>31.821999999999999</v>
      </c>
      <c r="P10" s="323"/>
      <c r="Q10" s="323">
        <v>0</v>
      </c>
      <c r="R10" s="323"/>
      <c r="S10" s="323">
        <v>0</v>
      </c>
      <c r="T10" s="367"/>
      <c r="U10" s="323"/>
      <c r="V10" s="367"/>
      <c r="W10" s="323">
        <f t="shared" si="0"/>
        <v>20188.822</v>
      </c>
      <c r="AD10" s="325" t="s">
        <v>952</v>
      </c>
      <c r="AF10" s="317">
        <v>38</v>
      </c>
      <c r="AH10" s="317">
        <v>9.3200000000001992</v>
      </c>
      <c r="AJ10" s="317">
        <v>21.275000000000013</v>
      </c>
      <c r="AL10" s="317">
        <v>36.840999999999987</v>
      </c>
      <c r="AN10" s="317">
        <f>AL10+AJ10</f>
        <v>58.116</v>
      </c>
      <c r="AP10" s="317">
        <v>26.683000000000007</v>
      </c>
      <c r="AS10" s="317">
        <f>AP10+AN10</f>
        <v>84.799000000000007</v>
      </c>
      <c r="AU10" s="317">
        <v>48</v>
      </c>
      <c r="AW10" s="317">
        <f>AU10+AS10</f>
        <v>132.79900000000001</v>
      </c>
      <c r="AY10" s="317">
        <v>16.699999999999953</v>
      </c>
      <c r="BA10" s="317">
        <v>24.045000000000051</v>
      </c>
      <c r="BC10" s="317">
        <f>BA10+AY10</f>
        <v>40.745000000000005</v>
      </c>
      <c r="BE10" s="317">
        <v>25.889999999999986</v>
      </c>
      <c r="BG10" s="317">
        <f>AY10+BA10+BE10</f>
        <v>66.634999999999991</v>
      </c>
      <c r="BI10" s="317">
        <v>21.054000000000002</v>
      </c>
      <c r="BK10" s="317">
        <f t="shared" si="1"/>
        <v>87.688999999999993</v>
      </c>
      <c r="BM10" s="317">
        <v>15.249761099999997</v>
      </c>
      <c r="BO10" s="317">
        <f>BQ10-BM10</f>
        <v>19.039805960000091</v>
      </c>
      <c r="BQ10" s="317">
        <f>G27</f>
        <v>34.289567060000088</v>
      </c>
    </row>
    <row r="11" spans="2:69" ht="16" thickBot="1">
      <c r="B11" s="315" t="s">
        <v>952</v>
      </c>
      <c r="C11" s="323">
        <v>16.591828090000035</v>
      </c>
      <c r="D11" s="323">
        <v>-0.6304658700000374</v>
      </c>
      <c r="E11" s="323">
        <v>15.961362219999998</v>
      </c>
      <c r="F11" s="323">
        <v>-0.71160112000000053</v>
      </c>
      <c r="G11" s="323">
        <v>15.249761099999997</v>
      </c>
      <c r="H11" s="326"/>
      <c r="I11" s="324"/>
      <c r="K11" s="366" t="s">
        <v>996</v>
      </c>
      <c r="L11" s="367"/>
      <c r="M11" s="323">
        <v>79303</v>
      </c>
      <c r="N11" s="323"/>
      <c r="O11" s="323">
        <v>0</v>
      </c>
      <c r="P11" s="323"/>
      <c r="Q11" s="323">
        <v>0</v>
      </c>
      <c r="R11" s="323"/>
      <c r="S11" s="323">
        <v>0</v>
      </c>
      <c r="T11" s="367"/>
      <c r="U11" s="323"/>
      <c r="V11" s="367"/>
      <c r="W11" s="323">
        <f t="shared" si="0"/>
        <v>79303</v>
      </c>
      <c r="AD11" s="327" t="s">
        <v>1060</v>
      </c>
      <c r="AF11" s="328">
        <v>294.7</v>
      </c>
      <c r="AH11" s="328">
        <v>200.9200000000001</v>
      </c>
      <c r="AJ11" s="328">
        <v>160.34299999999999</v>
      </c>
      <c r="AL11" s="329">
        <v>164.58399999999995</v>
      </c>
      <c r="AN11" s="329">
        <f>SUM(AN7:AN10)</f>
        <v>324.92699999999996</v>
      </c>
      <c r="AP11" s="329">
        <f>SUM(AP7:AP10)</f>
        <v>189.78500000000003</v>
      </c>
      <c r="AS11" s="329">
        <f>SUM(AS7:AS10)</f>
        <v>514.71199999999999</v>
      </c>
      <c r="AU11" s="329">
        <v>306.89200000000011</v>
      </c>
      <c r="AW11" s="329">
        <f>SUM(AW7:AW10)</f>
        <v>821.34</v>
      </c>
      <c r="AY11" s="329">
        <v>248.60699999999997</v>
      </c>
      <c r="BA11" s="329">
        <v>366.68200000000002</v>
      </c>
      <c r="BC11" s="329">
        <f>SUM(BC7:BC10)</f>
        <v>615.28899999999999</v>
      </c>
      <c r="BE11" s="330">
        <v>568.63102107999998</v>
      </c>
      <c r="BG11" s="329">
        <f>SUM(BG7:BG10)</f>
        <v>1183.92002108</v>
      </c>
      <c r="BI11" s="330">
        <v>268.15982892</v>
      </c>
      <c r="BK11" s="329">
        <f>BK7+BK8+BK9+BK10</f>
        <v>1452.0798500000001</v>
      </c>
      <c r="BM11" s="330">
        <v>197.32215715999919</v>
      </c>
      <c r="BO11" s="330">
        <f>SUM(BO7:BO10)</f>
        <v>192.9837454900009</v>
      </c>
      <c r="BQ11" s="330">
        <f>SUM(BQ7:BQ10)</f>
        <v>390.28964700000006</v>
      </c>
    </row>
    <row r="12" spans="2:69" ht="16" thickBot="1">
      <c r="B12" s="331" t="s">
        <v>555</v>
      </c>
      <c r="C12" s="332">
        <v>202.75688131999897</v>
      </c>
      <c r="D12" s="332">
        <v>0</v>
      </c>
      <c r="E12" s="332">
        <v>202.75688131999897</v>
      </c>
      <c r="F12" s="332">
        <v>-5.4347241599997851</v>
      </c>
      <c r="G12" s="332">
        <v>197.32215715999919</v>
      </c>
      <c r="K12" s="366" t="s">
        <v>1233</v>
      </c>
      <c r="L12" s="367"/>
      <c r="M12" s="323">
        <v>477651</v>
      </c>
      <c r="N12" s="323"/>
      <c r="O12" s="323">
        <v>70602.553789999656</v>
      </c>
      <c r="P12" s="323"/>
      <c r="Q12" s="323">
        <v>-12144.962589999988</v>
      </c>
      <c r="R12" s="323"/>
      <c r="S12" s="323">
        <v>-82340.593199999683</v>
      </c>
      <c r="T12" s="367"/>
      <c r="U12" s="323"/>
      <c r="V12" s="367"/>
      <c r="W12" s="323">
        <f t="shared" si="0"/>
        <v>453767.99800000002</v>
      </c>
      <c r="X12" s="317"/>
      <c r="Y12" s="317"/>
      <c r="Z12" s="317"/>
      <c r="AA12" s="310"/>
      <c r="AU12" s="310"/>
      <c r="AW12" s="310"/>
      <c r="AY12" s="310"/>
      <c r="BA12" s="310"/>
    </row>
    <row r="13" spans="2:69" ht="46.5" customHeight="1">
      <c r="B13" s="409"/>
      <c r="C13" s="409"/>
      <c r="D13" s="409"/>
      <c r="E13" s="409"/>
      <c r="F13" s="409"/>
      <c r="G13" s="409"/>
      <c r="H13" s="319"/>
      <c r="I13" s="319"/>
      <c r="K13" s="366" t="s">
        <v>997</v>
      </c>
      <c r="L13" s="367"/>
      <c r="M13" s="323">
        <v>18419</v>
      </c>
      <c r="N13" s="323"/>
      <c r="O13" s="323">
        <v>21430.895099999998</v>
      </c>
      <c r="P13" s="323"/>
      <c r="Q13" s="323">
        <v>-712</v>
      </c>
      <c r="R13" s="323"/>
      <c r="S13" s="323">
        <v>-23458.006099999999</v>
      </c>
      <c r="T13" s="367"/>
      <c r="U13" s="323"/>
      <c r="V13" s="367"/>
      <c r="W13" s="323">
        <f t="shared" si="0"/>
        <v>15679.888999999996</v>
      </c>
      <c r="X13" s="317"/>
      <c r="Y13" s="317"/>
      <c r="Z13" s="317"/>
      <c r="AA13" s="310"/>
      <c r="AY13" s="333"/>
      <c r="BA13" s="333"/>
    </row>
    <row r="14" spans="2:69" ht="25" customHeight="1">
      <c r="B14" s="318" t="s">
        <v>1245</v>
      </c>
      <c r="C14" s="318" t="s">
        <v>948</v>
      </c>
      <c r="D14" s="318" t="s">
        <v>949</v>
      </c>
      <c r="E14" s="318" t="s">
        <v>950</v>
      </c>
      <c r="F14" s="318" t="s">
        <v>1119</v>
      </c>
      <c r="G14" s="318" t="s">
        <v>555</v>
      </c>
      <c r="H14" s="317"/>
      <c r="I14" s="317"/>
      <c r="K14" s="315" t="s">
        <v>994</v>
      </c>
      <c r="L14" s="312"/>
      <c r="M14" s="316">
        <v>199325</v>
      </c>
      <c r="N14" s="316"/>
      <c r="O14" s="316">
        <v>2026.6870000000001</v>
      </c>
      <c r="P14" s="316"/>
      <c r="Q14" s="316">
        <v>0</v>
      </c>
      <c r="R14" s="316"/>
      <c r="S14" s="316">
        <v>3248.6649999999995</v>
      </c>
      <c r="T14" s="312"/>
      <c r="U14" s="316"/>
      <c r="V14" s="312"/>
      <c r="W14" s="316">
        <f t="shared" si="0"/>
        <v>204600.35200000001</v>
      </c>
      <c r="X14" s="317"/>
      <c r="Y14" s="317"/>
      <c r="Z14" s="317"/>
      <c r="AA14" s="317"/>
      <c r="AD14" s="318" t="s">
        <v>1246</v>
      </c>
      <c r="AJ14" s="335" t="s">
        <v>1007</v>
      </c>
      <c r="AL14" s="335">
        <v>2024</v>
      </c>
      <c r="AN14" s="368" t="s">
        <v>1242</v>
      </c>
      <c r="AP14" s="368" t="s">
        <v>1066</v>
      </c>
      <c r="AQ14" s="369"/>
      <c r="AR14" s="369"/>
      <c r="AS14" s="368" t="s">
        <v>1247</v>
      </c>
      <c r="AT14" s="369"/>
      <c r="AU14" s="368" t="s">
        <v>1067</v>
      </c>
      <c r="AV14" s="369"/>
      <c r="AW14" s="368" t="s">
        <v>1247</v>
      </c>
      <c r="AX14" s="369"/>
      <c r="AY14" s="368" t="s">
        <v>1244</v>
      </c>
      <c r="AZ14" s="369"/>
      <c r="BA14" s="368" t="s">
        <v>1174</v>
      </c>
      <c r="BB14" s="369"/>
      <c r="BC14" s="368" t="s">
        <v>1247</v>
      </c>
    </row>
    <row r="15" spans="2:69" ht="16" thickBot="1">
      <c r="B15" s="315" t="s">
        <v>1002</v>
      </c>
      <c r="C15" s="323">
        <f>C23-C7</f>
        <v>139.13943758000048</v>
      </c>
      <c r="D15" s="323">
        <f>D23-D7</f>
        <v>36.15717039999943</v>
      </c>
      <c r="E15" s="323">
        <f>SUM(C15:D15)</f>
        <v>175.29660797999992</v>
      </c>
      <c r="F15" s="323">
        <f>F23-F7</f>
        <v>-1.7640707999999994</v>
      </c>
      <c r="G15" s="323">
        <f>E15+F15</f>
        <v>173.53253717999991</v>
      </c>
      <c r="H15" s="317"/>
      <c r="I15" s="336"/>
      <c r="K15" s="325"/>
      <c r="M15" s="337"/>
      <c r="N15" s="337"/>
      <c r="O15" s="338"/>
      <c r="P15" s="337"/>
      <c r="Q15" s="337"/>
      <c r="S15" s="337"/>
      <c r="W15" s="337"/>
      <c r="X15" s="317"/>
      <c r="AA15" s="310"/>
      <c r="AD15" s="325" t="s">
        <v>1002</v>
      </c>
      <c r="AJ15" s="317">
        <f>AU7</f>
        <v>279.72200000000009</v>
      </c>
      <c r="AL15" s="317">
        <f>AW7</f>
        <v>783.0440000000001</v>
      </c>
      <c r="AN15" s="370">
        <f>BO7</f>
        <v>173.53253717999991</v>
      </c>
      <c r="AP15" s="371">
        <f>BM7</f>
        <v>196.4711337600001</v>
      </c>
      <c r="AQ15" s="369"/>
      <c r="AR15" s="369"/>
      <c r="AS15" s="372" cm="1">
        <f t="array" ref="AS15">_xlfn.IFS(AP15*AN15&lt;0,"n.m.",AP15*AN15=0,"n.m.",AP15*AN15&gt;0,AN15/AP15-1)</f>
        <v>-0.11675301170715946</v>
      </c>
      <c r="AT15" s="369"/>
      <c r="AU15" s="371">
        <f>BA7</f>
        <v>287.14400000000001</v>
      </c>
      <c r="AV15" s="369"/>
      <c r="AW15" s="372" cm="1">
        <f t="array" ref="AW15">_xlfn.IFS(AU15*AN15&lt;0,"n.m.",AU15*AN15=0,"n.m.",AU15*AN15&gt;0,AN15/AU15-1)</f>
        <v>-0.39566023604881206</v>
      </c>
      <c r="AX15" s="369"/>
      <c r="AY15" s="370">
        <f>BQ7</f>
        <v>370.00367094000001</v>
      </c>
      <c r="AZ15" s="369"/>
      <c r="BA15" s="371">
        <f>BC7</f>
        <v>509.54399999999998</v>
      </c>
      <c r="BB15" s="369"/>
      <c r="BC15" s="372" cm="1">
        <f t="array" ref="BC15">_xlfn.IFS(BA15*AU15&lt;0,"n.m.",BA15*AU15=0,"n.m.",BA15*AU15&gt;0,AU15/BA15-1)</f>
        <v>-0.43646868572684594</v>
      </c>
      <c r="BE15" s="333"/>
      <c r="BG15" s="333"/>
    </row>
    <row r="16" spans="2:69" ht="16" thickBot="1">
      <c r="B16" s="315" t="s">
        <v>1003</v>
      </c>
      <c r="C16" s="323">
        <f t="shared" ref="C16:D19" si="2">C24-C8</f>
        <v>34.797717330000602</v>
      </c>
      <c r="D16" s="323">
        <f t="shared" si="2"/>
        <v>-34.463709229999495</v>
      </c>
      <c r="E16" s="323">
        <f>SUM(C16:D16)</f>
        <v>0.33400810000110681</v>
      </c>
      <c r="F16" s="323">
        <f t="shared" ref="F16:F19" si="3">F24-F8</f>
        <v>-9.8020167500002024</v>
      </c>
      <c r="G16" s="323">
        <f>E16+F16</f>
        <v>-9.4680086499990956</v>
      </c>
      <c r="H16" s="317"/>
      <c r="I16" s="317"/>
      <c r="K16" s="339" t="s">
        <v>555</v>
      </c>
      <c r="L16" s="340"/>
      <c r="M16" s="340">
        <f>SUM(M5:M14)</f>
        <v>9703552</v>
      </c>
      <c r="N16" s="340">
        <f t="shared" ref="N16:S16" si="4">SUM(N5:N14)</f>
        <v>0</v>
      </c>
      <c r="O16" s="340">
        <f t="shared" si="4"/>
        <v>407118.14759000007</v>
      </c>
      <c r="P16" s="340">
        <f t="shared" si="4"/>
        <v>0</v>
      </c>
      <c r="Q16" s="340">
        <f t="shared" si="4"/>
        <v>-17001.210589999988</v>
      </c>
      <c r="R16" s="340">
        <f t="shared" si="4"/>
        <v>0</v>
      </c>
      <c r="S16" s="340">
        <f t="shared" si="4"/>
        <v>-14887.213000000012</v>
      </c>
      <c r="T16" s="340"/>
      <c r="U16" s="340">
        <f>SUM(U5:U14)</f>
        <v>0</v>
      </c>
      <c r="V16" s="340"/>
      <c r="W16" s="340">
        <f t="shared" ref="W16" si="5">SUM(W5:W14)</f>
        <v>10078781.724000001</v>
      </c>
      <c r="X16" s="317">
        <f>W16-M16</f>
        <v>375229.72400000133</v>
      </c>
      <c r="Y16" s="317"/>
      <c r="Z16" s="317"/>
      <c r="AA16" s="317"/>
      <c r="AD16" s="325" t="s">
        <v>1003</v>
      </c>
      <c r="AJ16" s="317">
        <f>AU8</f>
        <v>-21</v>
      </c>
      <c r="AL16" s="317">
        <f>AW8</f>
        <v>-94.503000000000043</v>
      </c>
      <c r="AN16" s="370">
        <f>BO8</f>
        <v>-9.4680086499990956</v>
      </c>
      <c r="AP16" s="371">
        <f>BM8</f>
        <v>-14.41499335000092</v>
      </c>
      <c r="AQ16" s="369"/>
      <c r="AR16" s="369"/>
      <c r="AS16" s="372" cm="1">
        <f t="array" ref="AS16">_xlfn.IFS(AP16*AN16&lt;0,"n.m.",AP16*AN16=0,"n.m.",AP16*AN16&gt;0,AN16/AP16-1)</f>
        <v>-0.34318328006731325</v>
      </c>
      <c r="AT16" s="369"/>
      <c r="AU16" s="371">
        <f>BA8</f>
        <v>18.493000000000002</v>
      </c>
      <c r="AV16" s="369"/>
      <c r="AW16" s="372" t="str" cm="1">
        <f t="array" ref="AW16">_xlfn.IFS(AU16*AN16&lt;0,"n.m.",AU16*AN16=0,"n.m.",AU16*AN16&gt;0,AN16/AU16-1)</f>
        <v>n.m.</v>
      </c>
      <c r="AX16" s="369"/>
      <c r="AY16" s="370">
        <f>BQ8</f>
        <v>-23.883002000000015</v>
      </c>
      <c r="AZ16" s="369"/>
      <c r="BA16" s="371">
        <f>BC8</f>
        <v>28</v>
      </c>
      <c r="BB16" s="369"/>
      <c r="BC16" s="372" cm="1">
        <f t="array" ref="BC16">_xlfn.IFS(BA16*AU16&lt;0,"n.m.",BA16*AU16=0,"n.m.",BA16*AU16&gt;0,AU16/BA16-1)</f>
        <v>-0.33953571428571416</v>
      </c>
      <c r="BE16" s="333"/>
      <c r="BG16" s="333"/>
    </row>
    <row r="17" spans="2:60" ht="16" thickBot="1">
      <c r="B17" s="315" t="s">
        <v>1191</v>
      </c>
      <c r="C17" s="323">
        <f t="shared" si="2"/>
        <v>1.5566349999999996E-2</v>
      </c>
      <c r="D17" s="323">
        <f t="shared" si="2"/>
        <v>-5.684341886080802E-19</v>
      </c>
      <c r="E17" s="323">
        <f>SUM(C17:D17)</f>
        <v>1.5566349999999996E-2</v>
      </c>
      <c r="F17" s="323">
        <f t="shared" si="3"/>
        <v>0</v>
      </c>
      <c r="G17" s="323">
        <f>E17+F17</f>
        <v>1.5566349999999996E-2</v>
      </c>
      <c r="H17" s="317"/>
      <c r="I17" s="317"/>
      <c r="K17" s="341"/>
      <c r="L17" s="326"/>
      <c r="M17" s="326"/>
      <c r="N17" s="326"/>
      <c r="O17" s="326"/>
      <c r="P17" s="326"/>
      <c r="Q17" s="326"/>
      <c r="R17" s="326"/>
      <c r="S17" s="326"/>
      <c r="T17" s="326"/>
      <c r="U17" s="326"/>
      <c r="V17" s="326"/>
      <c r="W17" s="326"/>
      <c r="X17" s="317"/>
      <c r="Y17" s="317"/>
      <c r="Z17" s="317"/>
      <c r="AA17" s="317"/>
      <c r="AD17" s="373" t="s">
        <v>952</v>
      </c>
      <c r="AE17" s="374"/>
      <c r="AF17" s="374"/>
      <c r="AG17" s="374"/>
      <c r="AH17" s="374"/>
      <c r="AI17" s="374"/>
      <c r="AJ17" s="375">
        <f>AU10</f>
        <v>48</v>
      </c>
      <c r="AK17" s="374"/>
      <c r="AL17" s="375">
        <f>AW10</f>
        <v>132.79900000000001</v>
      </c>
      <c r="AM17" s="374"/>
      <c r="AN17" s="376">
        <f>BO10</f>
        <v>19.039805960000091</v>
      </c>
      <c r="AO17" s="374"/>
      <c r="AP17" s="377">
        <f>BM10</f>
        <v>15.249761099999997</v>
      </c>
      <c r="AQ17" s="378"/>
      <c r="AR17" s="378"/>
      <c r="AS17" s="379" cm="1">
        <f t="array" ref="AS17">_xlfn.IFS(AP17*AN17&lt;0,"n.m.",AP17*AN17=0,"n.m.",AP17*AN17&gt;0,AN17/AP17-1)</f>
        <v>0.24853142519066052</v>
      </c>
      <c r="AT17" s="378"/>
      <c r="AU17" s="377">
        <f>BA10</f>
        <v>24.045000000000051</v>
      </c>
      <c r="AV17" s="378"/>
      <c r="AW17" s="379" cm="1">
        <f t="array" ref="AW17">_xlfn.IFS(AU17*AN17&lt;0,"n.m.",AU17*AN17=0,"n.m.",AU17*AN17&gt;0,AN17/AU17-1)</f>
        <v>-0.2081594526928654</v>
      </c>
      <c r="AX17" s="378"/>
      <c r="AY17" s="376">
        <f>$BQ$10</f>
        <v>34.289567060000088</v>
      </c>
      <c r="AZ17" s="378"/>
      <c r="BA17" s="377">
        <f>BC10</f>
        <v>40.745000000000005</v>
      </c>
      <c r="BB17" s="378"/>
      <c r="BC17" s="379" cm="1">
        <f t="array" ref="BC17">_xlfn.IFS(BA17*AU17&lt;0,"n.m.",BA17*AU17=0,"n.m.",BA17*AU17&gt;0,AU17/BA17-1)</f>
        <v>-0.40986624125659465</v>
      </c>
      <c r="BE17" s="333"/>
      <c r="BG17" s="333"/>
    </row>
    <row r="18" spans="2:60" ht="16" thickBot="1">
      <c r="B18" s="315" t="s">
        <v>1190</v>
      </c>
      <c r="C18" s="323">
        <f t="shared" si="2"/>
        <v>9.8794109999999993</v>
      </c>
      <c r="D18" s="323">
        <f t="shared" si="2"/>
        <v>0</v>
      </c>
      <c r="E18" s="323">
        <f>SUM(C18:D18)</f>
        <v>9.8794109999999993</v>
      </c>
      <c r="F18" s="323">
        <f t="shared" si="3"/>
        <v>0</v>
      </c>
      <c r="G18" s="323">
        <f>E18+F18</f>
        <v>9.8794109999999993</v>
      </c>
      <c r="H18" s="326"/>
      <c r="I18" s="326"/>
      <c r="K18" s="342"/>
      <c r="M18" s="337"/>
      <c r="N18" s="337"/>
      <c r="O18" s="337"/>
      <c r="P18" s="337"/>
      <c r="Q18" s="337"/>
      <c r="S18" s="337"/>
      <c r="X18" s="317"/>
      <c r="Y18" s="326"/>
      <c r="Z18" s="326"/>
      <c r="AA18" s="326"/>
      <c r="AD18" s="380" t="s">
        <v>1248</v>
      </c>
      <c r="AE18" s="381"/>
      <c r="AF18" s="381"/>
      <c r="AG18" s="381"/>
      <c r="AH18" s="381"/>
      <c r="AI18" s="381"/>
      <c r="AJ18" s="382"/>
      <c r="AK18" s="381"/>
      <c r="AL18" s="382">
        <f>AL15+AL16+AL17</f>
        <v>821.34</v>
      </c>
      <c r="AM18" s="381"/>
      <c r="AN18" s="383">
        <f>AN15+AN16+AN17</f>
        <v>183.10433449000089</v>
      </c>
      <c r="AO18" s="381"/>
      <c r="AP18" s="382">
        <f>AP15+AP16+AP17</f>
        <v>197.30590150999919</v>
      </c>
      <c r="AQ18" s="381"/>
      <c r="AR18" s="381"/>
      <c r="AS18" s="384" cm="1">
        <f t="array" ref="AS18">_xlfn.IFS(AP18*AN18&lt;0,"n.m.",AP18*AN18=0,"n.m.",AP18*AN18&gt;0,AN18/AP18-1)</f>
        <v>-7.1977406206871986E-2</v>
      </c>
      <c r="AT18" s="381"/>
      <c r="AU18" s="382">
        <f>AU15+AU16+AU17</f>
        <v>329.68200000000007</v>
      </c>
      <c r="AV18" s="381"/>
      <c r="AW18" s="384" cm="1">
        <f t="array" ref="AW18">_xlfn.IFS(AU18*AN18&lt;0,"n.m.",AU18*AN18=0,"n.m.",AU18*AN18&gt;0,AN18/AU18-1)</f>
        <v>-0.44460317976110053</v>
      </c>
      <c r="AX18" s="381"/>
      <c r="AY18" s="383">
        <f>AY15+AY16+AY17</f>
        <v>380.41023600000005</v>
      </c>
      <c r="AZ18" s="381"/>
      <c r="BA18" s="382">
        <f>BA15+BA16+BA17</f>
        <v>578.28899999999999</v>
      </c>
      <c r="BB18" s="381"/>
      <c r="BC18" s="384" cm="1">
        <f t="array" ref="BC18">_xlfn.IFS(BA18*AU18&lt;0,"n.m.",BA18*AU18=0,"n.m.",BA18*AU18&gt;0,AU18/BA18-1)</f>
        <v>-0.42990096647178122</v>
      </c>
      <c r="BE18" s="333"/>
      <c r="BG18" s="333"/>
    </row>
    <row r="19" spans="2:60" ht="16" thickBot="1">
      <c r="B19" s="315" t="s">
        <v>952</v>
      </c>
      <c r="C19" s="323">
        <f t="shared" si="2"/>
        <v>20.733665010000038</v>
      </c>
      <c r="D19" s="323">
        <f t="shared" si="2"/>
        <v>-1.6934601699999479</v>
      </c>
      <c r="E19" s="323">
        <f>SUM(C19:D19)</f>
        <v>19.04020484000009</v>
      </c>
      <c r="F19" s="323">
        <f t="shared" si="3"/>
        <v>-3.9888000000098955E-4</v>
      </c>
      <c r="G19" s="323">
        <f>E19+F19</f>
        <v>19.039805960000088</v>
      </c>
      <c r="H19" s="326"/>
      <c r="I19" s="326"/>
      <c r="K19" s="343" t="s">
        <v>954</v>
      </c>
      <c r="M19" s="344"/>
      <c r="N19" s="344"/>
      <c r="O19" s="344"/>
      <c r="P19" s="344"/>
      <c r="Q19" s="344"/>
      <c r="S19" s="344"/>
      <c r="X19" s="317"/>
      <c r="Y19" s="326"/>
      <c r="Z19" s="326"/>
      <c r="AA19" s="326"/>
      <c r="AD19" s="385" t="s">
        <v>1249</v>
      </c>
      <c r="AE19" s="386"/>
      <c r="AF19" s="386"/>
      <c r="AG19" s="386"/>
      <c r="AH19" s="386"/>
      <c r="AI19" s="386"/>
      <c r="AJ19" s="387">
        <f>AU9</f>
        <v>0</v>
      </c>
      <c r="AK19" s="386"/>
      <c r="AL19" s="387">
        <f>AW9</f>
        <v>0</v>
      </c>
      <c r="AM19" s="386"/>
      <c r="AN19" s="376">
        <f>BO9</f>
        <v>9.8794109999999993</v>
      </c>
      <c r="AO19" s="388"/>
      <c r="AP19" s="389">
        <f>BM9</f>
        <v>0</v>
      </c>
      <c r="AQ19" s="390"/>
      <c r="AR19" s="390"/>
      <c r="AS19" s="391" t="str" cm="1">
        <f t="array" ref="AS19">_xlfn.IFS(AP19*AN19&lt;0,"n.m.",AP19*AN19=0,"n.m.",AP19*AN19&gt;0,AN19/AP19-1)</f>
        <v>n.m.</v>
      </c>
      <c r="AT19" s="390"/>
      <c r="AU19" s="389">
        <f>BA9</f>
        <v>37</v>
      </c>
      <c r="AV19" s="390"/>
      <c r="AW19" s="391" cm="1">
        <f t="array" ref="AW19">_xlfn.IFS(AU19*AN19&lt;0,"n.m.",AU19*AN19=0,"n.m.",AU19*AN19&gt;0,AN19/AU19-1)</f>
        <v>-0.73298889189189187</v>
      </c>
      <c r="AX19" s="390"/>
      <c r="AY19" s="376">
        <f>BQ9</f>
        <v>9.8794109999999993</v>
      </c>
      <c r="AZ19" s="390"/>
      <c r="BA19" s="389">
        <f>BA9</f>
        <v>37</v>
      </c>
      <c r="BB19" s="390"/>
      <c r="BC19" s="391" cm="1">
        <f t="array" ref="BC19">_xlfn.IFS(BA19*AY19&lt;0,"n.m.",BA19*AY19=0,"n.m.",BA19*AY19&gt;0,AY19/BA19-1)</f>
        <v>-0.73298889189189187</v>
      </c>
      <c r="BE19" s="333"/>
      <c r="BG19" s="333"/>
    </row>
    <row r="20" spans="2:60" ht="16" thickBot="1">
      <c r="B20" s="331" t="s">
        <v>555</v>
      </c>
      <c r="C20" s="332">
        <f>C28-C12</f>
        <v>204.5657972700011</v>
      </c>
      <c r="D20" s="332">
        <f>D28-D12</f>
        <v>9.9999998747080104E-7</v>
      </c>
      <c r="E20" s="332">
        <f>SUM(E15:E19)</f>
        <v>204.56579827000112</v>
      </c>
      <c r="F20" s="332">
        <f>F28-F12</f>
        <v>-11.566486430000204</v>
      </c>
      <c r="G20" s="332">
        <f>G15+G16+G17+G18+G19</f>
        <v>192.9993118400009</v>
      </c>
      <c r="H20" s="317"/>
      <c r="I20" s="345"/>
      <c r="K20" s="343"/>
      <c r="M20" s="344"/>
      <c r="N20" s="344"/>
      <c r="O20" s="344"/>
      <c r="P20" s="344"/>
      <c r="Q20" s="344"/>
      <c r="S20" s="344"/>
      <c r="X20" s="317"/>
      <c r="AA20" s="310"/>
      <c r="AD20" s="392" t="s">
        <v>1060</v>
      </c>
      <c r="AE20" s="393"/>
      <c r="AF20" s="393"/>
      <c r="AG20" s="393"/>
      <c r="AH20" s="393"/>
      <c r="AI20" s="393"/>
      <c r="AJ20" s="394">
        <f>SUM(AJ15:AJ19)</f>
        <v>306.72200000000009</v>
      </c>
      <c r="AK20" s="393"/>
      <c r="AL20" s="394">
        <f>AL18+AL19</f>
        <v>821.34</v>
      </c>
      <c r="AM20" s="393"/>
      <c r="AN20" s="395">
        <f>AN18+AN19</f>
        <v>192.9837454900009</v>
      </c>
      <c r="AO20" s="393"/>
      <c r="AP20" s="394">
        <f>AP18+AP19</f>
        <v>197.30590150999919</v>
      </c>
      <c r="AQ20" s="393"/>
      <c r="AR20" s="393"/>
      <c r="AS20" s="396" cm="1">
        <f t="array" ref="AS20">_xlfn.IFS(AP20*AN20&lt;0,"n.m.",AP20*AN20=0,"n.m.",AP20*AN20&gt;0,AN20/AP20-1)</f>
        <v>-2.1905862860261416E-2</v>
      </c>
      <c r="AT20" s="393"/>
      <c r="AU20" s="394">
        <f>AU18+AU19</f>
        <v>366.68200000000007</v>
      </c>
      <c r="AV20" s="393"/>
      <c r="AW20" s="396" cm="1">
        <f t="array" ref="AW20">_xlfn.IFS(AU20*AN20&lt;0,"n.m.",AU20*AN20=0,"n.m.",AU20*AN20&gt;0,AN20/AU20-1)</f>
        <v>-0.47370270291423944</v>
      </c>
      <c r="AX20" s="393"/>
      <c r="AY20" s="395">
        <f>AY18+AY19</f>
        <v>390.28964700000006</v>
      </c>
      <c r="AZ20" s="393"/>
      <c r="BA20" s="394">
        <f>BA18+BA19</f>
        <v>615.28899999999999</v>
      </c>
      <c r="BB20" s="393"/>
      <c r="BC20" s="396" cm="1">
        <f t="array" ref="BC20">_xlfn.IFS(BA20*AU20&lt;0,"n.m.",BA20*AU20=0,"n.m.",BA20*AU20&gt;0,AU20/BA20-1)</f>
        <v>-0.40404915413732401</v>
      </c>
      <c r="BE20" s="333"/>
      <c r="BG20" s="333"/>
    </row>
    <row r="21" spans="2:60" ht="58.5" customHeight="1">
      <c r="B21" s="334"/>
      <c r="C21" s="334"/>
      <c r="D21" s="334"/>
      <c r="E21" s="334"/>
      <c r="F21" s="334"/>
      <c r="G21" s="334"/>
      <c r="H21" s="317"/>
      <c r="I21" s="345"/>
      <c r="K21" s="342" t="s">
        <v>998</v>
      </c>
      <c r="M21" s="338">
        <v>-103788</v>
      </c>
      <c r="N21" s="338"/>
      <c r="O21" s="338">
        <v>-30726.670999999998</v>
      </c>
      <c r="P21" s="338"/>
      <c r="Q21" s="338">
        <v>0</v>
      </c>
      <c r="R21" s="338"/>
      <c r="S21" s="338">
        <v>0</v>
      </c>
      <c r="U21" s="338"/>
      <c r="W21" s="338">
        <f>SUM(M21:V21)</f>
        <v>-134514.671</v>
      </c>
      <c r="X21" s="317"/>
      <c r="AA21" s="310"/>
      <c r="AD21" s="410" t="s">
        <v>1250</v>
      </c>
      <c r="AE21" s="410"/>
      <c r="AF21" s="410"/>
      <c r="AG21" s="410"/>
      <c r="AH21" s="410"/>
      <c r="AI21" s="410"/>
      <c r="AJ21" s="410"/>
      <c r="AK21" s="410"/>
      <c r="AL21" s="410"/>
      <c r="AM21" s="410"/>
      <c r="AN21" s="410"/>
      <c r="AO21" s="410"/>
      <c r="AP21" s="410"/>
      <c r="AQ21" s="410"/>
      <c r="AR21" s="410"/>
      <c r="AS21" s="410"/>
      <c r="AT21" s="410"/>
      <c r="AU21" s="410"/>
      <c r="AV21" s="410"/>
      <c r="AW21" s="410"/>
      <c r="AX21" s="410"/>
      <c r="AY21" s="410"/>
      <c r="AZ21" s="410"/>
      <c r="BA21" s="410"/>
      <c r="BB21" s="410"/>
      <c r="BC21" s="410"/>
    </row>
    <row r="22" spans="2:60" ht="18.649999999999999" customHeight="1" thickBot="1">
      <c r="B22" s="318" t="s">
        <v>1251</v>
      </c>
      <c r="C22" s="318" t="s">
        <v>948</v>
      </c>
      <c r="D22" s="318" t="s">
        <v>949</v>
      </c>
      <c r="E22" s="318" t="s">
        <v>950</v>
      </c>
      <c r="F22" s="318" t="s">
        <v>1119</v>
      </c>
      <c r="G22" s="318" t="s">
        <v>555</v>
      </c>
      <c r="H22" s="319"/>
      <c r="I22" s="319"/>
      <c r="K22" s="342" t="s">
        <v>1214</v>
      </c>
      <c r="M22" s="310">
        <v>0</v>
      </c>
      <c r="N22" s="310"/>
      <c r="O22" s="338">
        <v>0</v>
      </c>
      <c r="P22" s="310"/>
      <c r="Q22" s="338">
        <f>0</f>
        <v>0</v>
      </c>
      <c r="R22" s="310"/>
      <c r="S22" s="338">
        <f>0</f>
        <v>0</v>
      </c>
      <c r="T22" s="310"/>
      <c r="U22" s="338"/>
      <c r="V22" s="310"/>
      <c r="W22" s="338">
        <f t="shared" ref="W22:W26" si="6">SUM(M22:V22)</f>
        <v>0</v>
      </c>
      <c r="X22" s="317"/>
      <c r="Y22" s="319"/>
      <c r="Z22" s="319"/>
      <c r="AA22" s="310"/>
      <c r="AN22" s="322" t="s">
        <v>1028</v>
      </c>
      <c r="AP22" s="322" t="s">
        <v>1029</v>
      </c>
      <c r="AQ22" s="335"/>
      <c r="AS22" s="322">
        <v>2024</v>
      </c>
      <c r="AT22" s="335"/>
      <c r="AU22" s="322" t="s">
        <v>1133</v>
      </c>
      <c r="AW22" s="322" t="s">
        <v>1134</v>
      </c>
      <c r="AY22" s="322" t="s">
        <v>1135</v>
      </c>
      <c r="BA22" s="322" t="s">
        <v>1177</v>
      </c>
      <c r="BC22" s="322">
        <v>2025</v>
      </c>
      <c r="BE22" s="322" t="s">
        <v>1178</v>
      </c>
      <c r="BG22" s="322" t="s">
        <v>1179</v>
      </c>
    </row>
    <row r="23" spans="2:60" ht="16" thickBot="1">
      <c r="B23" s="315" t="s">
        <v>1002</v>
      </c>
      <c r="C23" s="323">
        <f>$O$9/1000</f>
        <v>289.48339870000035</v>
      </c>
      <c r="D23" s="323">
        <f>$S$9/1000</f>
        <v>84.664520239999661</v>
      </c>
      <c r="E23" s="323">
        <f>SUM(C23:D23)</f>
        <v>374.14791894000001</v>
      </c>
      <c r="F23" s="323">
        <f>$Q$9/1000</f>
        <v>-4.1442479999999993</v>
      </c>
      <c r="G23" s="323">
        <f>E23+F23</f>
        <v>370.00367094000001</v>
      </c>
      <c r="H23" s="317"/>
      <c r="I23" s="317"/>
      <c r="K23" s="342" t="s">
        <v>955</v>
      </c>
      <c r="M23" s="338">
        <v>-922414</v>
      </c>
      <c r="N23" s="338"/>
      <c r="O23" s="338">
        <v>-57683.667000000001</v>
      </c>
      <c r="P23" s="338"/>
      <c r="Q23" s="338">
        <v>0</v>
      </c>
      <c r="R23" s="338"/>
      <c r="S23" s="338">
        <v>0</v>
      </c>
      <c r="U23" s="338"/>
      <c r="W23" s="338">
        <f t="shared" si="6"/>
        <v>-980097.66700000002</v>
      </c>
      <c r="X23" s="317"/>
      <c r="Y23" s="317"/>
      <c r="Z23" s="317"/>
      <c r="AA23" s="310"/>
      <c r="AD23" s="322" t="s">
        <v>1002</v>
      </c>
      <c r="AE23" s="335"/>
      <c r="AF23" s="322" t="s">
        <v>884</v>
      </c>
      <c r="AG23" s="335"/>
      <c r="AH23" s="322" t="s">
        <v>991</v>
      </c>
      <c r="AI23" s="335"/>
      <c r="AJ23" s="322" t="s">
        <v>1004</v>
      </c>
      <c r="AK23" s="335"/>
      <c r="AL23" s="322" t="s">
        <v>1005</v>
      </c>
      <c r="AN23" s="322" t="s">
        <v>1006</v>
      </c>
      <c r="AP23" s="322" t="s">
        <v>1007</v>
      </c>
      <c r="AQ23" s="335"/>
      <c r="AS23" s="322">
        <v>2024</v>
      </c>
      <c r="AT23" s="335"/>
      <c r="AU23" s="322" t="s">
        <v>1008</v>
      </c>
      <c r="AW23" s="322" t="s">
        <v>1067</v>
      </c>
      <c r="AY23" s="322" t="s">
        <v>1068</v>
      </c>
      <c r="BA23" s="322" t="s">
        <v>1069</v>
      </c>
      <c r="BC23" s="322">
        <v>2025</v>
      </c>
      <c r="BE23" s="322" t="s">
        <v>1066</v>
      </c>
      <c r="BG23" s="322" t="s">
        <v>1242</v>
      </c>
    </row>
    <row r="24" spans="2:60" ht="21.65" customHeight="1">
      <c r="B24" s="315" t="s">
        <v>1003</v>
      </c>
      <c r="C24" s="323">
        <f>$O$12/1000</f>
        <v>70.602553789999661</v>
      </c>
      <c r="D24" s="323">
        <f>$S$12/1000</f>
        <v>-82.340593199999688</v>
      </c>
      <c r="E24" s="323">
        <f>SUM(C24:D24)</f>
        <v>-11.738039410000027</v>
      </c>
      <c r="F24" s="323">
        <f>$Q$12/1000</f>
        <v>-12.144962589999988</v>
      </c>
      <c r="G24" s="323">
        <f>E24+F24</f>
        <v>-23.883002000000015</v>
      </c>
      <c r="K24" s="342" t="s">
        <v>999</v>
      </c>
      <c r="M24" s="338">
        <v>-2422704</v>
      </c>
      <c r="N24" s="338"/>
      <c r="O24" s="338">
        <v>-204654.22476000001</v>
      </c>
      <c r="P24" s="338"/>
      <c r="Q24" s="338">
        <v>0</v>
      </c>
      <c r="R24" s="338"/>
      <c r="S24" s="338">
        <v>0</v>
      </c>
      <c r="U24" s="338"/>
      <c r="W24" s="338">
        <f t="shared" si="6"/>
        <v>-2627358.2247600001</v>
      </c>
      <c r="X24" s="317"/>
      <c r="Y24" s="317"/>
      <c r="Z24" s="317"/>
      <c r="AA24" s="310"/>
      <c r="AB24" s="325" t="s">
        <v>1252</v>
      </c>
      <c r="AD24" s="325" t="s">
        <v>1061</v>
      </c>
      <c r="AE24" s="325"/>
      <c r="AF24" s="317">
        <v>48</v>
      </c>
      <c r="AG24" s="325"/>
      <c r="AH24" s="317">
        <v>41.524965609999938</v>
      </c>
      <c r="AI24" s="325"/>
      <c r="AJ24" s="317">
        <v>63</v>
      </c>
      <c r="AK24" s="325"/>
      <c r="AL24" s="317">
        <v>23</v>
      </c>
      <c r="AN24" s="317">
        <v>39</v>
      </c>
      <c r="AP24" s="317">
        <v>109</v>
      </c>
      <c r="AQ24" s="325"/>
      <c r="AS24" s="317">
        <f>AJ24+AL24+AN24+AP24</f>
        <v>234</v>
      </c>
      <c r="AT24" s="325"/>
      <c r="AU24" s="317">
        <v>93</v>
      </c>
      <c r="AW24" s="317">
        <v>111</v>
      </c>
      <c r="AY24" s="317">
        <v>67.290417140000017</v>
      </c>
      <c r="BA24" s="317">
        <v>41</v>
      </c>
      <c r="BC24" s="317">
        <f>SUM(AU24:BA24)</f>
        <v>312.29041714000005</v>
      </c>
      <c r="BE24" s="317">
        <v>26</v>
      </c>
      <c r="BG24" s="317">
        <v>21</v>
      </c>
    </row>
    <row r="25" spans="2:60">
      <c r="B25" s="315" t="s">
        <v>1191</v>
      </c>
      <c r="C25" s="323">
        <f>$O$10/1000</f>
        <v>3.1821999999999996E-2</v>
      </c>
      <c r="D25" s="323">
        <f>$S$10/1000</f>
        <v>0</v>
      </c>
      <c r="E25" s="323">
        <f>SUM(C25:D25)</f>
        <v>3.1821999999999996E-2</v>
      </c>
      <c r="F25" s="323">
        <f>$Q$10/1000</f>
        <v>0</v>
      </c>
      <c r="G25" s="323">
        <f>E25+F25</f>
        <v>3.1821999999999996E-2</v>
      </c>
      <c r="H25" s="317"/>
      <c r="I25" s="317"/>
      <c r="K25" s="342" t="s">
        <v>1064</v>
      </c>
      <c r="M25" s="338">
        <v>-41848</v>
      </c>
      <c r="N25" s="338"/>
      <c r="O25" s="338">
        <v>-2083.8360000000002</v>
      </c>
      <c r="P25" s="338"/>
      <c r="Q25" s="338">
        <v>0</v>
      </c>
      <c r="R25" s="338"/>
      <c r="S25" s="338">
        <v>0</v>
      </c>
      <c r="U25" s="338"/>
      <c r="W25" s="338">
        <f t="shared" si="6"/>
        <v>-43931.836000000003</v>
      </c>
      <c r="X25" s="317"/>
      <c r="Y25" s="317"/>
      <c r="Z25" s="317"/>
      <c r="AA25" s="317"/>
      <c r="AB25" s="325" t="s">
        <v>1062</v>
      </c>
      <c r="AD25" s="325" t="s">
        <v>1062</v>
      </c>
      <c r="AE25" s="325"/>
      <c r="AF25" s="317">
        <v>107</v>
      </c>
      <c r="AG25" s="325"/>
      <c r="AH25" s="317">
        <v>85.928746539999963</v>
      </c>
      <c r="AI25" s="325"/>
      <c r="AJ25" s="317">
        <v>60</v>
      </c>
      <c r="AK25" s="325"/>
      <c r="AL25" s="317">
        <v>94</v>
      </c>
      <c r="AN25" s="317">
        <v>114</v>
      </c>
      <c r="AP25" s="317">
        <v>103</v>
      </c>
      <c r="AQ25" s="325"/>
      <c r="AS25" s="317">
        <f>AJ25+AL25+AN25+AP25</f>
        <v>371</v>
      </c>
      <c r="AT25" s="325"/>
      <c r="AU25" s="317">
        <v>82</v>
      </c>
      <c r="AW25" s="317">
        <v>132</v>
      </c>
      <c r="AY25" s="317">
        <v>159</v>
      </c>
      <c r="BA25" s="317">
        <v>105</v>
      </c>
      <c r="BC25" s="317">
        <f t="shared" ref="BC25:BC26" si="7">SUM(AU25:BA25)</f>
        <v>478</v>
      </c>
      <c r="BE25" s="317">
        <v>135</v>
      </c>
      <c r="BG25" s="317">
        <v>121</v>
      </c>
      <c r="BH25" s="333"/>
    </row>
    <row r="26" spans="2:60" ht="16" thickBot="1">
      <c r="B26" s="315" t="s">
        <v>1190</v>
      </c>
      <c r="C26" s="316">
        <f>($O$5/1000)</f>
        <v>9.8794109999999993</v>
      </c>
      <c r="D26" s="323">
        <f>S22/1000</f>
        <v>0</v>
      </c>
      <c r="E26" s="323">
        <f>SUM(C26:D26)</f>
        <v>9.8794109999999993</v>
      </c>
      <c r="F26" s="323">
        <f>$Q$6/1000</f>
        <v>0</v>
      </c>
      <c r="G26" s="323">
        <f>E26+F26</f>
        <v>9.8794109999999993</v>
      </c>
      <c r="H26" s="317"/>
      <c r="I26" s="317"/>
      <c r="K26" s="342" t="s">
        <v>994</v>
      </c>
      <c r="M26" s="338">
        <v>-41957</v>
      </c>
      <c r="N26" s="338"/>
      <c r="O26" s="338">
        <v>-9281.4770000000008</v>
      </c>
      <c r="P26" s="338"/>
      <c r="Q26" s="338">
        <v>0</v>
      </c>
      <c r="R26" s="338"/>
      <c r="S26" s="338">
        <v>0</v>
      </c>
      <c r="U26" s="338"/>
      <c r="W26" s="338">
        <f t="shared" si="6"/>
        <v>-51238.476999999999</v>
      </c>
      <c r="X26" s="317"/>
      <c r="Y26" s="326"/>
      <c r="Z26" s="326"/>
      <c r="AA26" s="310"/>
      <c r="AB26" s="346" t="s">
        <v>1253</v>
      </c>
      <c r="AD26" s="325" t="s">
        <v>1063</v>
      </c>
      <c r="AE26" s="325"/>
      <c r="AF26" s="317">
        <v>50</v>
      </c>
      <c r="AG26" s="325"/>
      <c r="AH26" s="317">
        <v>60.424162140000121</v>
      </c>
      <c r="AI26" s="325"/>
      <c r="AJ26" s="317">
        <v>40</v>
      </c>
      <c r="AK26" s="325"/>
      <c r="AL26" s="317">
        <v>39</v>
      </c>
      <c r="AN26" s="317">
        <v>31</v>
      </c>
      <c r="AP26" s="317">
        <v>68</v>
      </c>
      <c r="AQ26" s="325"/>
      <c r="AS26" s="317">
        <f>AJ26+AL26+AN26+AP26</f>
        <v>178</v>
      </c>
      <c r="AT26" s="325"/>
      <c r="AU26" s="317">
        <v>47</v>
      </c>
      <c r="AW26" s="317">
        <v>44</v>
      </c>
      <c r="AY26" s="317">
        <v>61</v>
      </c>
      <c r="BA26" s="317">
        <v>64</v>
      </c>
      <c r="BC26" s="317">
        <f t="shared" si="7"/>
        <v>216</v>
      </c>
      <c r="BE26" s="317">
        <v>35</v>
      </c>
      <c r="BG26" s="317">
        <v>32</v>
      </c>
    </row>
    <row r="27" spans="2:60" ht="16" thickBot="1">
      <c r="B27" s="315" t="s">
        <v>952</v>
      </c>
      <c r="C27" s="323">
        <f>$C$28-SUM($C$23:$C$26)</f>
        <v>37.325493100000074</v>
      </c>
      <c r="D27" s="323">
        <f>D28-SUM(D23:D26)</f>
        <v>-2.3239260399999853</v>
      </c>
      <c r="E27" s="323">
        <f>SUM(C27:D27)</f>
        <v>35.001567060000092</v>
      </c>
      <c r="F27" s="323">
        <f>F28-F23-F24</f>
        <v>-0.71200000000000152</v>
      </c>
      <c r="G27" s="323">
        <f>E27+F27</f>
        <v>34.289567060000088</v>
      </c>
      <c r="H27" s="317"/>
      <c r="I27" s="317"/>
      <c r="K27" s="339" t="s">
        <v>555</v>
      </c>
      <c r="L27" s="340"/>
      <c r="M27" s="340">
        <f>SUM(M21:M26)</f>
        <v>-3532711</v>
      </c>
      <c r="N27" s="340">
        <f t="shared" ref="N27:S27" si="8">SUM(N21:N26)</f>
        <v>0</v>
      </c>
      <c r="O27" s="340">
        <f t="shared" si="8"/>
        <v>-304429.87576000002</v>
      </c>
      <c r="P27" s="340"/>
      <c r="Q27" s="340">
        <f t="shared" si="8"/>
        <v>0</v>
      </c>
      <c r="R27" s="340">
        <f t="shared" si="8"/>
        <v>0</v>
      </c>
      <c r="S27" s="340">
        <f t="shared" si="8"/>
        <v>0</v>
      </c>
      <c r="T27" s="340"/>
      <c r="U27" s="340"/>
      <c r="V27" s="340"/>
      <c r="W27" s="340">
        <f t="shared" ref="W27" si="9">SUM(W21:W26)</f>
        <v>-3837140.8757600002</v>
      </c>
      <c r="X27" s="317"/>
      <c r="Y27" s="326"/>
      <c r="Z27" s="326"/>
      <c r="AA27" s="310"/>
      <c r="AD27" s="347" t="s">
        <v>555</v>
      </c>
      <c r="AE27" s="348"/>
      <c r="AF27" s="349">
        <v>205</v>
      </c>
      <c r="AG27" s="348"/>
      <c r="AH27" s="349">
        <v>187.87787429000002</v>
      </c>
      <c r="AI27" s="348"/>
      <c r="AJ27" s="349">
        <v>163</v>
      </c>
      <c r="AK27" s="348"/>
      <c r="AL27" s="349">
        <v>156</v>
      </c>
      <c r="AN27" s="329">
        <v>184</v>
      </c>
      <c r="AP27" s="329">
        <f>SUM(AP24:AP26)</f>
        <v>280</v>
      </c>
      <c r="AQ27" s="348"/>
      <c r="AS27" s="329">
        <f>AJ27+AL27+AN27+AP27</f>
        <v>783</v>
      </c>
      <c r="AT27" s="348"/>
      <c r="AU27" s="329">
        <f>SUM(AU24:AU26)</f>
        <v>222</v>
      </c>
      <c r="AW27" s="329">
        <f>SUM(AW24:AW26)</f>
        <v>287</v>
      </c>
      <c r="AY27" s="329">
        <f>SUM(AY24:AY26)</f>
        <v>287.29041714000005</v>
      </c>
      <c r="BA27" s="329">
        <f>SUM(BA24:BA26)</f>
        <v>210</v>
      </c>
      <c r="BC27" s="329">
        <f>SUM(AU27:BA27)</f>
        <v>1006.29041714</v>
      </c>
      <c r="BE27" s="329">
        <v>196</v>
      </c>
      <c r="BG27" s="329">
        <v>174</v>
      </c>
    </row>
    <row r="28" spans="2:60" ht="16" thickBot="1">
      <c r="B28" s="331" t="s">
        <v>555</v>
      </c>
      <c r="C28" s="332">
        <f>($O$16+$O$32)/1000</f>
        <v>407.32267859000007</v>
      </c>
      <c r="D28" s="332">
        <f>($S$16+$S$32)/1000</f>
        <v>9.9999998747080104E-7</v>
      </c>
      <c r="E28" s="332">
        <f>SUM(E23:E27)</f>
        <v>407.32267959000006</v>
      </c>
      <c r="F28" s="332">
        <f>($Q$16+$Q$32)/1000</f>
        <v>-17.001210589999989</v>
      </c>
      <c r="G28" s="332">
        <f>G23+G24+G25+G26+G27</f>
        <v>390.32146900000004</v>
      </c>
      <c r="H28" s="317"/>
      <c r="I28" s="317"/>
      <c r="K28" s="326"/>
      <c r="L28" s="326"/>
      <c r="M28" s="326"/>
      <c r="N28" s="326"/>
      <c r="O28" s="326"/>
      <c r="P28" s="326"/>
      <c r="Q28" s="326"/>
      <c r="R28" s="326"/>
      <c r="S28" s="326"/>
      <c r="T28" s="326"/>
      <c r="U28" s="326"/>
      <c r="V28" s="326"/>
      <c r="W28" s="326"/>
      <c r="AJ28" s="310"/>
    </row>
    <row r="29" spans="2:60">
      <c r="B29" s="334"/>
      <c r="C29" s="334"/>
      <c r="D29" s="334"/>
      <c r="E29" s="334"/>
      <c r="F29" s="334"/>
      <c r="G29" s="334"/>
      <c r="H29" s="317"/>
      <c r="I29" s="317"/>
      <c r="K29" s="342"/>
      <c r="M29" s="338"/>
      <c r="N29" s="338"/>
      <c r="O29" s="338"/>
      <c r="P29" s="338"/>
      <c r="Q29" s="338"/>
      <c r="S29" s="338"/>
      <c r="AJ29" s="310"/>
    </row>
    <row r="30" spans="2:60" ht="19" customHeight="1">
      <c r="B30" s="334"/>
      <c r="C30" s="334"/>
      <c r="D30" s="334"/>
      <c r="E30" s="334"/>
      <c r="F30" s="334"/>
      <c r="G30" s="334"/>
      <c r="H30" s="317"/>
      <c r="I30" s="317"/>
      <c r="K30" s="342"/>
      <c r="M30" s="338"/>
      <c r="N30" s="338"/>
      <c r="O30" s="338"/>
      <c r="P30" s="338"/>
      <c r="Q30" s="338"/>
      <c r="S30" s="338"/>
      <c r="AJ30" s="310"/>
      <c r="AN30" s="310"/>
    </row>
    <row r="31" spans="2:60">
      <c r="B31" s="334"/>
      <c r="C31" s="334"/>
      <c r="D31" s="334"/>
      <c r="E31" s="334"/>
      <c r="F31" s="334"/>
      <c r="G31" s="334"/>
      <c r="H31" s="326"/>
      <c r="I31" s="326"/>
      <c r="K31" s="343" t="s">
        <v>956</v>
      </c>
      <c r="M31" s="338"/>
      <c r="N31" s="338"/>
      <c r="O31" s="338"/>
      <c r="P31" s="338"/>
      <c r="Q31" s="338"/>
      <c r="S31" s="338"/>
      <c r="AA31" s="310"/>
    </row>
    <row r="32" spans="2:60">
      <c r="B32" s="334"/>
      <c r="C32" s="334"/>
      <c r="D32" s="334"/>
      <c r="E32" s="334"/>
      <c r="F32" s="334"/>
      <c r="G32" s="334"/>
      <c r="H32" s="317"/>
      <c r="I32" s="317"/>
      <c r="K32" s="342" t="s">
        <v>1000</v>
      </c>
      <c r="M32" s="338">
        <v>113042</v>
      </c>
      <c r="N32" s="338"/>
      <c r="O32" s="338">
        <v>204.53100000000001</v>
      </c>
      <c r="P32" s="338"/>
      <c r="Q32" s="338">
        <v>0</v>
      </c>
      <c r="R32" s="338"/>
      <c r="S32" s="338">
        <v>14887.214</v>
      </c>
      <c r="T32" s="338"/>
      <c r="U32" s="338"/>
      <c r="V32" s="338"/>
      <c r="W32" s="338">
        <f>SUM(M32:U32)</f>
        <v>128133.745</v>
      </c>
      <c r="X32" s="317">
        <f>W32-M32</f>
        <v>15091.744999999995</v>
      </c>
      <c r="Y32" s="317"/>
      <c r="Z32" s="317"/>
      <c r="AA32" s="317"/>
    </row>
    <row r="33" spans="2:27">
      <c r="B33" s="352" t="s">
        <v>1234</v>
      </c>
      <c r="C33" s="352" t="s">
        <v>1192</v>
      </c>
      <c r="D33" s="353" t="s">
        <v>1235</v>
      </c>
      <c r="F33" s="334"/>
      <c r="G33" s="334"/>
      <c r="H33" s="317"/>
      <c r="I33" s="317"/>
      <c r="K33" s="325"/>
      <c r="M33" s="338"/>
      <c r="N33" s="338"/>
      <c r="O33" s="338"/>
      <c r="P33" s="338"/>
      <c r="Q33" s="338"/>
      <c r="R33" s="338"/>
      <c r="S33" s="338"/>
      <c r="T33" s="338"/>
      <c r="U33" s="338"/>
      <c r="V33" s="338"/>
      <c r="W33" s="338">
        <f t="shared" ref="W33:W35" si="10">SUM(M33:U33)</f>
        <v>0</v>
      </c>
      <c r="X33" s="317"/>
      <c r="Y33" s="317"/>
      <c r="Z33" s="317"/>
      <c r="AA33" s="317"/>
    </row>
    <row r="34" spans="2:27">
      <c r="B34" s="354" t="s">
        <v>1236</v>
      </c>
      <c r="C34" s="355">
        <f>36849150/1000000</f>
        <v>36.849150000000002</v>
      </c>
      <c r="D34" s="356" t="s">
        <v>1008</v>
      </c>
      <c r="F34" s="334"/>
      <c r="G34" s="334"/>
      <c r="H34" s="317"/>
      <c r="I34" s="317"/>
      <c r="K34" s="350" t="s">
        <v>957</v>
      </c>
      <c r="M34" s="338"/>
      <c r="N34" s="338"/>
      <c r="O34" s="338"/>
      <c r="P34" s="338"/>
      <c r="Q34" s="338"/>
      <c r="R34" s="338"/>
      <c r="S34" s="338"/>
      <c r="T34" s="338"/>
      <c r="U34" s="338"/>
      <c r="V34" s="338"/>
      <c r="W34" s="338">
        <f t="shared" si="10"/>
        <v>0</v>
      </c>
      <c r="X34" s="317"/>
      <c r="Y34" s="317"/>
      <c r="Z34" s="317"/>
      <c r="AA34" s="310"/>
    </row>
    <row r="35" spans="2:27">
      <c r="B35" s="354" t="s">
        <v>1237</v>
      </c>
      <c r="C35" s="355">
        <f>91035006.14/1000000</f>
        <v>91.035006140000007</v>
      </c>
      <c r="D35" s="356" t="s">
        <v>1068</v>
      </c>
      <c r="F35" s="334"/>
      <c r="G35" s="334"/>
      <c r="H35" s="317"/>
      <c r="I35" s="317"/>
      <c r="K35" s="342" t="s">
        <v>1001</v>
      </c>
      <c r="M35" s="338">
        <v>-29658</v>
      </c>
      <c r="N35" s="338"/>
      <c r="O35" s="338">
        <v>-9252.01</v>
      </c>
      <c r="P35" s="338"/>
      <c r="Q35" s="338">
        <v>0</v>
      </c>
      <c r="R35" s="338"/>
      <c r="S35" s="338">
        <v>0</v>
      </c>
      <c r="T35" s="338"/>
      <c r="U35" s="338"/>
      <c r="V35" s="338"/>
      <c r="W35" s="338">
        <f t="shared" si="10"/>
        <v>-38910.01</v>
      </c>
      <c r="X35" s="317"/>
      <c r="Y35" s="317"/>
      <c r="Z35" s="317"/>
      <c r="AA35" s="317"/>
    </row>
    <row r="36" spans="2:27" ht="16" thickBot="1">
      <c r="B36" s="354" t="s">
        <v>1238</v>
      </c>
      <c r="C36" s="355">
        <f>168827164.94/1000000</f>
        <v>168.82716493999999</v>
      </c>
      <c r="D36" s="356" t="s">
        <v>1068</v>
      </c>
      <c r="F36" s="334"/>
      <c r="G36" s="334"/>
      <c r="H36" s="326"/>
      <c r="I36" s="326"/>
      <c r="J36" s="326"/>
      <c r="K36" s="325"/>
      <c r="M36" s="338"/>
      <c r="N36" s="338"/>
      <c r="O36" s="338"/>
      <c r="P36" s="338"/>
      <c r="Q36" s="338"/>
      <c r="R36" s="338"/>
      <c r="S36" s="338"/>
      <c r="T36" s="338"/>
      <c r="U36" s="338"/>
      <c r="V36" s="338"/>
      <c r="W36" s="338"/>
      <c r="AA36" s="310"/>
    </row>
    <row r="37" spans="2:27" ht="16" thickBot="1">
      <c r="B37" s="354" t="s">
        <v>1239</v>
      </c>
      <c r="C37" s="355">
        <v>34.412999999999997</v>
      </c>
      <c r="D37" s="356" t="s">
        <v>1069</v>
      </c>
      <c r="F37" s="334"/>
      <c r="G37" s="334"/>
      <c r="K37" s="351" t="s">
        <v>958</v>
      </c>
      <c r="L37" s="340"/>
      <c r="M37" s="340">
        <f>M16+M27+M32+M35</f>
        <v>6254225</v>
      </c>
      <c r="N37" s="340"/>
      <c r="O37" s="340">
        <f>O16+O27+O32+O35</f>
        <v>93640.792830000049</v>
      </c>
      <c r="P37" s="340"/>
      <c r="Q37" s="340">
        <f>Q16+Q27+Q32+Q35</f>
        <v>-17001.210589999988</v>
      </c>
      <c r="R37" s="340"/>
      <c r="S37" s="340">
        <f>S16+S27+S32+S35</f>
        <v>9.9999998747080099E-4</v>
      </c>
      <c r="T37" s="340"/>
      <c r="U37" s="340"/>
      <c r="V37" s="340"/>
      <c r="W37" s="340">
        <f>W16+W27+W32+W35</f>
        <v>6330864.5832400015</v>
      </c>
      <c r="X37" s="326"/>
      <c r="Y37" s="326"/>
      <c r="Z37" s="326"/>
    </row>
    <row r="38" spans="2:27">
      <c r="B38" s="357" t="s">
        <v>1240</v>
      </c>
      <c r="C38" s="358">
        <f>SUM(C34:C37)</f>
        <v>331.12432108000002</v>
      </c>
      <c r="F38" s="334"/>
      <c r="G38" s="334"/>
      <c r="O38" s="310"/>
    </row>
    <row r="39" spans="2:27">
      <c r="B39" s="359" t="s">
        <v>1193</v>
      </c>
      <c r="C39" s="360">
        <v>17.895</v>
      </c>
      <c r="F39" s="334"/>
      <c r="G39" s="334"/>
      <c r="O39" s="310"/>
      <c r="Q39" s="310"/>
    </row>
    <row r="40" spans="2:27">
      <c r="B40" s="361" t="s">
        <v>1241</v>
      </c>
      <c r="C40" s="362">
        <f>C38+C39</f>
        <v>349.01932108</v>
      </c>
      <c r="F40" s="334"/>
      <c r="G40" s="334"/>
      <c r="Q40" s="310"/>
    </row>
    <row r="41" spans="2:27">
      <c r="B41" s="334"/>
      <c r="C41" s="334"/>
      <c r="D41" s="334"/>
      <c r="E41" s="334"/>
      <c r="F41" s="334"/>
      <c r="G41" s="334"/>
    </row>
    <row r="42" spans="2:27">
      <c r="B42" s="334"/>
      <c r="C42" s="334"/>
      <c r="D42" s="334"/>
      <c r="E42" s="334"/>
      <c r="F42" s="334"/>
      <c r="G42" s="334"/>
    </row>
    <row r="43" spans="2:27">
      <c r="B43" s="334"/>
      <c r="C43" s="334"/>
      <c r="D43" s="334"/>
      <c r="E43" s="334"/>
      <c r="F43" s="334"/>
      <c r="G43" s="334"/>
      <c r="H43" s="310"/>
      <c r="I43" s="310"/>
      <c r="J43" s="310"/>
    </row>
    <row r="44" spans="2:27">
      <c r="B44" s="334"/>
      <c r="C44" s="334"/>
      <c r="D44" s="334"/>
      <c r="E44" s="334"/>
      <c r="F44" s="334"/>
      <c r="G44" s="334"/>
      <c r="H44" s="310"/>
      <c r="I44" s="310"/>
      <c r="J44" s="310"/>
    </row>
    <row r="45" spans="2:27">
      <c r="B45" s="334"/>
      <c r="C45" s="334"/>
      <c r="D45" s="334"/>
      <c r="E45" s="334"/>
      <c r="F45" s="334"/>
      <c r="G45" s="334"/>
    </row>
    <row r="46" spans="2:27">
      <c r="B46" s="334"/>
      <c r="C46" s="334"/>
      <c r="D46" s="334"/>
      <c r="E46" s="334"/>
      <c r="F46" s="334"/>
      <c r="G46" s="334"/>
      <c r="H46" s="310"/>
      <c r="I46" s="310"/>
      <c r="J46" s="310"/>
    </row>
    <row r="47" spans="2:27">
      <c r="B47" s="334"/>
      <c r="C47" s="334"/>
      <c r="D47" s="334"/>
      <c r="E47" s="334"/>
      <c r="F47" s="334"/>
      <c r="G47" s="334"/>
    </row>
    <row r="48" spans="2:27">
      <c r="B48" s="334"/>
      <c r="C48" s="334"/>
      <c r="D48" s="334"/>
      <c r="E48" s="334"/>
      <c r="F48" s="334"/>
      <c r="G48" s="334"/>
    </row>
    <row r="49" spans="2:57">
      <c r="B49" s="334"/>
      <c r="C49" s="334"/>
      <c r="D49" s="334"/>
      <c r="E49" s="334"/>
      <c r="F49" s="334"/>
      <c r="G49" s="334"/>
    </row>
    <row r="50" spans="2:57">
      <c r="B50" s="334"/>
      <c r="C50" s="334"/>
      <c r="D50" s="334"/>
      <c r="E50" s="334"/>
      <c r="F50" s="334"/>
      <c r="G50" s="334"/>
    </row>
    <row r="51" spans="2:57">
      <c r="B51" s="334"/>
      <c r="C51" s="334"/>
      <c r="D51" s="334"/>
      <c r="E51" s="334"/>
      <c r="F51" s="334"/>
      <c r="G51" s="334"/>
    </row>
    <row r="52" spans="2:57">
      <c r="B52" s="334"/>
      <c r="C52" s="334"/>
      <c r="D52" s="334"/>
      <c r="E52" s="334"/>
      <c r="F52" s="334"/>
      <c r="G52" s="334"/>
    </row>
    <row r="53" spans="2:57">
      <c r="B53" s="334"/>
      <c r="C53" s="334"/>
      <c r="D53" s="334"/>
      <c r="E53" s="334"/>
      <c r="F53" s="334"/>
      <c r="G53" s="334"/>
      <c r="H53" s="334"/>
      <c r="I53" s="334"/>
      <c r="J53" s="334"/>
      <c r="K53" s="334"/>
      <c r="L53" s="334"/>
      <c r="M53" s="334"/>
      <c r="BD53" s="363"/>
      <c r="BE53" s="363"/>
    </row>
    <row r="54" spans="2:57">
      <c r="B54" s="334"/>
      <c r="C54" s="334"/>
      <c r="D54" s="334"/>
      <c r="E54" s="334"/>
      <c r="F54" s="334"/>
      <c r="G54" s="334"/>
      <c r="H54" s="334"/>
      <c r="I54" s="334"/>
      <c r="J54" s="334"/>
      <c r="K54" s="334"/>
      <c r="L54" s="334"/>
      <c r="M54" s="334"/>
    </row>
    <row r="55" spans="2:57">
      <c r="B55" s="334"/>
      <c r="C55" s="334"/>
      <c r="D55" s="334"/>
      <c r="E55" s="334"/>
      <c r="F55" s="334"/>
      <c r="G55" s="334"/>
      <c r="H55" s="334"/>
      <c r="I55" s="334"/>
      <c r="J55" s="334"/>
      <c r="K55" s="334"/>
      <c r="L55" s="334"/>
      <c r="M55" s="334"/>
    </row>
    <row r="56" spans="2:57">
      <c r="B56" s="334"/>
      <c r="C56" s="334"/>
      <c r="D56" s="334"/>
      <c r="E56" s="334"/>
      <c r="F56" s="334"/>
      <c r="G56" s="334"/>
      <c r="H56" s="334"/>
      <c r="I56" s="334"/>
      <c r="J56" s="334"/>
      <c r="K56" s="334"/>
      <c r="L56" s="334"/>
      <c r="M56" s="334"/>
    </row>
    <row r="57" spans="2:57" ht="57" customHeight="1">
      <c r="B57" s="334"/>
      <c r="C57" s="334"/>
      <c r="D57" s="334"/>
      <c r="E57" s="334"/>
      <c r="F57" s="334"/>
      <c r="G57" s="334"/>
      <c r="H57" s="334"/>
      <c r="I57" s="334"/>
      <c r="J57" s="334"/>
      <c r="K57" s="334"/>
      <c r="L57" s="334"/>
      <c r="M57" s="334"/>
    </row>
    <row r="58" spans="2:57">
      <c r="G58" s="317"/>
    </row>
    <row r="59" spans="2:57">
      <c r="B59" s="364"/>
      <c r="C59" s="365"/>
      <c r="D59" s="365"/>
      <c r="E59" s="365"/>
      <c r="F59" s="365"/>
      <c r="G59" s="365"/>
    </row>
    <row r="67" s="305" customFormat="1" ht="39.5" customHeight="1"/>
  </sheetData>
  <mergeCells count="2">
    <mergeCell ref="B13:G13"/>
    <mergeCell ref="AD21:BC21"/>
  </mergeCells>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7B74C-BE40-4CC6-BFDE-F23CD313C6F4}">
  <dimension ref="B2:BK42"/>
  <sheetViews>
    <sheetView showGridLines="0" zoomScale="90" zoomScaleNormal="90" workbookViewId="0">
      <pane xSplit="7" ySplit="7" topLeftCell="AY8" activePane="bottomRight" state="frozen"/>
      <selection activeCell="B30" sqref="B30"/>
      <selection pane="topRight" activeCell="B30" sqref="B30"/>
      <selection pane="bottomLeft" activeCell="B30" sqref="B30"/>
      <selection pane="bottomRight" activeCell="BK30" sqref="BK30"/>
    </sheetView>
  </sheetViews>
  <sheetFormatPr defaultRowHeight="14.5" outlineLevelCol="1"/>
  <cols>
    <col min="1" max="1" width="2.54296875" customWidth="1"/>
    <col min="2" max="2" width="47.26953125" bestFit="1" customWidth="1"/>
    <col min="3" max="3" width="1.1796875" customWidth="1"/>
    <col min="4" max="4" width="40.54296875" hidden="1" customWidth="1"/>
    <col min="5" max="5" width="1.1796875" customWidth="1"/>
    <col min="6" max="6" width="10.453125" customWidth="1"/>
    <col min="7" max="8" width="2.26953125" customWidth="1"/>
    <col min="9" max="9" width="13.54296875" hidden="1" customWidth="1"/>
    <col min="10" max="10" width="1.1796875" hidden="1" customWidth="1"/>
    <col min="11" max="11" width="13.54296875" hidden="1" customWidth="1"/>
    <col min="12" max="12" width="1.1796875" hidden="1" customWidth="1"/>
    <col min="13" max="13" width="13.54296875" hidden="1" customWidth="1"/>
    <col min="14" max="14" width="1.1796875" hidden="1" customWidth="1"/>
    <col min="15" max="15" width="13.54296875" hidden="1" customWidth="1"/>
    <col min="16" max="16" width="1.1796875" customWidth="1" collapsed="1"/>
    <col min="17" max="17" width="13.54296875" customWidth="1"/>
    <col min="18" max="18" width="1.1796875" customWidth="1"/>
    <col min="19" max="19" width="13.54296875" hidden="1" customWidth="1" outlineLevel="1"/>
    <col min="20" max="20" width="1.1796875" hidden="1" customWidth="1" outlineLevel="1"/>
    <col min="21" max="21" width="13.54296875" hidden="1" customWidth="1" outlineLevel="1"/>
    <col min="22" max="22" width="1.1796875" hidden="1" customWidth="1" outlineLevel="1"/>
    <col min="23" max="23" width="13.54296875" hidden="1" customWidth="1" outlineLevel="1"/>
    <col min="24" max="24" width="1.1796875" hidden="1" customWidth="1" outlineLevel="1"/>
    <col min="25" max="25" width="13.54296875" hidden="1" customWidth="1" outlineLevel="1"/>
    <col min="26" max="26" width="1.1796875" hidden="1" customWidth="1" outlineLevel="1"/>
    <col min="27" max="27" width="13.54296875" hidden="1" customWidth="1" outlineLevel="1"/>
    <col min="28" max="28" width="1.1796875" hidden="1" customWidth="1" outlineLevel="1"/>
    <col min="29" max="29" width="13.54296875" hidden="1" customWidth="1" outlineLevel="1"/>
    <col min="30" max="30" width="1.1796875" hidden="1" customWidth="1" outlineLevel="1"/>
    <col min="31" max="31" width="13.54296875" customWidth="1" collapsed="1"/>
    <col min="32" max="32" width="1.1796875" customWidth="1"/>
    <col min="33" max="33" width="13.54296875" hidden="1" customWidth="1" outlineLevel="1"/>
    <col min="34" max="34" width="1.1796875" hidden="1" customWidth="1" outlineLevel="1"/>
    <col min="35" max="35" width="13.54296875" hidden="1" customWidth="1" outlineLevel="1"/>
    <col min="36" max="36" width="1.1796875" hidden="1" customWidth="1" outlineLevel="1"/>
    <col min="37" max="37" width="13.54296875" hidden="1" customWidth="1" outlineLevel="1"/>
    <col min="38" max="38" width="1.1796875" hidden="1" customWidth="1" outlineLevel="1"/>
    <col min="39" max="39" width="13.54296875" hidden="1" customWidth="1" outlineLevel="1"/>
    <col min="40" max="40" width="1.1796875" hidden="1" customWidth="1" outlineLevel="1"/>
    <col min="41" max="41" width="13.54296875" hidden="1" customWidth="1" outlineLevel="1"/>
    <col min="42" max="42" width="1.1796875" hidden="1" customWidth="1" outlineLevel="1"/>
    <col min="43" max="43" width="13.54296875" hidden="1" customWidth="1" outlineLevel="1"/>
    <col min="44" max="44" width="1" hidden="1" customWidth="1" outlineLevel="1"/>
    <col min="45" max="45" width="13.453125" customWidth="1" collapsed="1"/>
    <col min="46" max="46" width="1" customWidth="1"/>
    <col min="47" max="47" width="13.453125" customWidth="1"/>
    <col min="48" max="48" width="1" customWidth="1"/>
    <col min="49" max="49" width="13.453125" customWidth="1"/>
    <col min="50" max="50" width="1" customWidth="1"/>
    <col min="51" max="51" width="13.453125" customWidth="1"/>
    <col min="52" max="52" width="1" customWidth="1"/>
    <col min="53" max="53" width="13.453125" customWidth="1"/>
    <col min="54" max="54" width="1" customWidth="1"/>
    <col min="55" max="55" width="13.453125" customWidth="1"/>
    <col min="56" max="56" width="1" customWidth="1"/>
    <col min="57" max="57" width="13.453125" customWidth="1"/>
    <col min="58" max="58" width="1" customWidth="1"/>
    <col min="59" max="59" width="13.453125" customWidth="1"/>
    <col min="60" max="60" width="1" customWidth="1"/>
    <col min="61" max="63" width="13.453125" customWidth="1"/>
  </cols>
  <sheetData>
    <row r="2" spans="2:63" ht="18.5">
      <c r="D2" s="43" t="s">
        <v>776</v>
      </c>
    </row>
    <row r="4" spans="2:63" ht="15" customHeight="1"/>
    <row r="5" spans="2:63" ht="3" customHeight="1">
      <c r="C5" s="159"/>
      <c r="E5" s="159"/>
      <c r="G5" s="159"/>
      <c r="H5" s="159"/>
      <c r="I5" s="159"/>
      <c r="J5" s="159"/>
      <c r="K5" s="159"/>
      <c r="L5" s="159"/>
      <c r="M5" s="159"/>
      <c r="N5" s="159"/>
      <c r="O5" s="159"/>
      <c r="P5" s="159"/>
      <c r="Q5" s="159"/>
      <c r="R5" s="159"/>
      <c r="S5" s="159"/>
      <c r="T5" s="159"/>
      <c r="U5" s="159"/>
      <c r="V5" s="159"/>
      <c r="W5" s="159"/>
      <c r="X5" s="159"/>
      <c r="Y5" s="159"/>
      <c r="Z5" s="159"/>
      <c r="AA5" s="159"/>
      <c r="AB5" s="159"/>
      <c r="AC5" s="159"/>
      <c r="AD5" s="159"/>
      <c r="AE5" s="159"/>
      <c r="AF5" s="159"/>
      <c r="AG5" s="159"/>
      <c r="AH5" s="159"/>
      <c r="AI5" s="159"/>
      <c r="AJ5" s="159"/>
      <c r="AK5" s="159"/>
      <c r="AL5" s="159"/>
      <c r="AM5" s="159"/>
      <c r="AN5" s="159"/>
      <c r="AO5" s="159"/>
      <c r="AP5" s="159"/>
      <c r="AQ5" s="159"/>
      <c r="AR5" s="159"/>
      <c r="AS5" s="159"/>
      <c r="AT5" s="159"/>
      <c r="AV5" s="159"/>
      <c r="AX5" s="159"/>
      <c r="AZ5" s="159"/>
      <c r="BB5" s="159"/>
      <c r="BD5" s="159"/>
      <c r="BF5" s="159"/>
      <c r="BH5" s="159"/>
    </row>
    <row r="6" spans="2:63">
      <c r="C6" s="127"/>
      <c r="E6" s="127"/>
      <c r="G6" s="127"/>
      <c r="H6" s="127"/>
      <c r="I6" s="166" t="s">
        <v>881</v>
      </c>
      <c r="J6" s="127"/>
      <c r="K6" s="166" t="s">
        <v>882</v>
      </c>
      <c r="L6" s="127"/>
      <c r="M6" s="166" t="s">
        <v>762</v>
      </c>
      <c r="N6" s="127"/>
      <c r="O6" s="166" t="s">
        <v>763</v>
      </c>
      <c r="P6" s="127"/>
      <c r="Q6" s="182" t="s">
        <v>804</v>
      </c>
      <c r="R6" s="127"/>
      <c r="S6" s="166" t="s">
        <v>883</v>
      </c>
      <c r="T6" s="127"/>
      <c r="U6" s="166" t="s">
        <v>884</v>
      </c>
      <c r="V6" s="127"/>
      <c r="W6" s="166" t="s">
        <v>733</v>
      </c>
      <c r="X6" s="127"/>
      <c r="Y6" s="166" t="s">
        <v>947</v>
      </c>
      <c r="Z6" s="127"/>
      <c r="AA6" s="166" t="s">
        <v>935</v>
      </c>
      <c r="AB6" s="127"/>
      <c r="AC6" s="166" t="s">
        <v>991</v>
      </c>
      <c r="AD6" s="127"/>
      <c r="AE6" s="182" t="s">
        <v>992</v>
      </c>
      <c r="AF6" s="127"/>
      <c r="AG6" s="166" t="s">
        <v>1004</v>
      </c>
      <c r="AH6" s="127"/>
      <c r="AI6" s="166" t="s">
        <v>1005</v>
      </c>
      <c r="AJ6" s="127"/>
      <c r="AK6" s="245" t="s">
        <v>1093</v>
      </c>
      <c r="AL6" s="127"/>
      <c r="AM6" s="245" t="s">
        <v>1006</v>
      </c>
      <c r="AN6" s="127"/>
      <c r="AO6" s="245" t="s">
        <v>1092</v>
      </c>
      <c r="AP6" s="127"/>
      <c r="AQ6" s="245" t="s">
        <v>1007</v>
      </c>
      <c r="AR6" s="127"/>
      <c r="AS6" s="245">
        <v>2024</v>
      </c>
      <c r="AT6" s="271"/>
      <c r="AU6" s="245" t="s">
        <v>1008</v>
      </c>
      <c r="AV6" s="271"/>
      <c r="AW6" s="245" t="s">
        <v>1067</v>
      </c>
      <c r="AX6" s="271"/>
      <c r="AY6" s="245" t="s">
        <v>1174</v>
      </c>
      <c r="AZ6" s="271"/>
      <c r="BA6" s="245" t="s">
        <v>1068</v>
      </c>
      <c r="BB6" s="271"/>
      <c r="BC6" s="245" t="s">
        <v>1188</v>
      </c>
      <c r="BD6" s="271"/>
      <c r="BE6" s="245" t="s">
        <v>1069</v>
      </c>
      <c r="BF6" s="271"/>
      <c r="BG6" s="245">
        <v>2025</v>
      </c>
      <c r="BH6" s="271"/>
      <c r="BI6" s="245" t="s">
        <v>1066</v>
      </c>
      <c r="BJ6" s="245" t="s">
        <v>1242</v>
      </c>
      <c r="BK6" s="245" t="s">
        <v>1244</v>
      </c>
    </row>
    <row r="7" spans="2:63" ht="3" customHeight="1">
      <c r="C7" s="159"/>
      <c r="E7" s="159"/>
      <c r="G7" s="159"/>
      <c r="H7" s="159"/>
      <c r="I7" s="159"/>
      <c r="J7" s="159"/>
      <c r="K7" s="159"/>
      <c r="L7" s="159"/>
      <c r="M7" s="159"/>
      <c r="N7" s="159"/>
      <c r="O7" s="159"/>
      <c r="P7" s="159"/>
      <c r="Q7" s="159"/>
      <c r="R7" s="159"/>
      <c r="S7" s="159"/>
      <c r="T7" s="159"/>
      <c r="U7" s="159"/>
      <c r="V7" s="159"/>
      <c r="W7" s="159"/>
      <c r="X7" s="159"/>
      <c r="Y7" s="159"/>
      <c r="Z7" s="159"/>
      <c r="AA7" s="159"/>
      <c r="AB7" s="159"/>
      <c r="AC7" s="159"/>
      <c r="AD7" s="159"/>
      <c r="AE7" s="159"/>
      <c r="AF7" s="159"/>
      <c r="AG7" s="159"/>
      <c r="AH7" s="159"/>
      <c r="AI7" s="159"/>
      <c r="AJ7" s="159"/>
      <c r="AK7" s="159"/>
      <c r="AL7" s="159"/>
      <c r="AM7" s="159"/>
      <c r="AN7" s="159"/>
      <c r="AO7" s="159"/>
      <c r="AP7" s="159"/>
      <c r="AQ7" s="159"/>
      <c r="AR7" s="159"/>
      <c r="AS7" s="159"/>
      <c r="AT7" s="159"/>
      <c r="AU7" s="159"/>
      <c r="AV7" s="159"/>
      <c r="AW7" s="159"/>
      <c r="AX7" s="159"/>
      <c r="AY7" s="159"/>
      <c r="AZ7" s="159"/>
      <c r="BA7" s="159"/>
      <c r="BB7" s="159"/>
      <c r="BC7" s="159"/>
      <c r="BD7" s="159"/>
      <c r="BE7" s="159"/>
      <c r="BF7" s="159"/>
      <c r="BG7" s="159"/>
      <c r="BH7" s="159"/>
      <c r="BI7" s="159"/>
      <c r="BJ7" s="159"/>
      <c r="BK7" s="159"/>
    </row>
    <row r="8" spans="2:63" ht="15" thickBot="1">
      <c r="B8" s="166" t="s">
        <v>774</v>
      </c>
      <c r="C8" s="167"/>
      <c r="D8" s="166" t="s">
        <v>773</v>
      </c>
      <c r="E8" s="167"/>
      <c r="F8" s="167"/>
    </row>
    <row r="9" spans="2:63" ht="15.5" thickTop="1" thickBot="1">
      <c r="B9" s="160" t="s">
        <v>98</v>
      </c>
      <c r="C9" s="161"/>
      <c r="D9" s="160" t="s">
        <v>618</v>
      </c>
      <c r="E9" s="161"/>
      <c r="F9" s="161" t="s">
        <v>769</v>
      </c>
      <c r="G9" s="163"/>
      <c r="H9" s="163"/>
      <c r="I9" s="162">
        <v>449.89055065562502</v>
      </c>
      <c r="J9" s="163"/>
      <c r="K9" s="162">
        <v>429.39663953122499</v>
      </c>
      <c r="L9" s="163"/>
      <c r="M9" s="162">
        <v>450.77034266027499</v>
      </c>
      <c r="N9" s="163"/>
      <c r="O9" s="162">
        <v>413.358</v>
      </c>
      <c r="P9" s="163"/>
      <c r="Q9" s="162">
        <v>1743.416228534875</v>
      </c>
      <c r="R9" s="163"/>
      <c r="S9" s="162">
        <v>408.54080727300004</v>
      </c>
      <c r="T9" s="163"/>
      <c r="U9" s="162">
        <v>431.58809569840002</v>
      </c>
      <c r="V9" s="163"/>
      <c r="W9" s="162">
        <v>840.12890297140007</v>
      </c>
      <c r="X9" s="163"/>
      <c r="Y9" s="162">
        <v>500.17845842859992</v>
      </c>
      <c r="Z9" s="163"/>
      <c r="AA9" s="162">
        <v>1340.3073614</v>
      </c>
      <c r="AB9" s="163"/>
      <c r="AC9" s="162">
        <v>472.55927947999993</v>
      </c>
      <c r="AD9" s="163"/>
      <c r="AE9" s="162">
        <v>1812.8666408799997</v>
      </c>
      <c r="AF9" s="163"/>
      <c r="AG9" s="162">
        <v>458.77178269000001</v>
      </c>
      <c r="AH9" s="163"/>
      <c r="AI9" s="162">
        <v>532.87940118000006</v>
      </c>
      <c r="AJ9" s="255"/>
      <c r="AK9" s="162">
        <v>991.65118387000007</v>
      </c>
      <c r="AL9" s="255"/>
      <c r="AM9" s="162">
        <v>0</v>
      </c>
      <c r="AN9" s="255"/>
      <c r="AO9" s="162">
        <v>0</v>
      </c>
      <c r="AP9" s="255"/>
      <c r="AQ9" s="162">
        <v>562.43466060999992</v>
      </c>
      <c r="AR9" s="255"/>
      <c r="AS9" s="162">
        <v>2088.6039999999998</v>
      </c>
      <c r="AT9" s="272"/>
      <c r="AU9" s="162">
        <v>558.43399999999997</v>
      </c>
      <c r="AV9" s="272"/>
      <c r="AW9" s="162">
        <v>498.14241764999997</v>
      </c>
      <c r="AX9" s="272"/>
      <c r="AY9" s="162">
        <v>1056.5764176499999</v>
      </c>
      <c r="AZ9" s="272"/>
      <c r="BA9" s="162">
        <v>471.51188086000002</v>
      </c>
      <c r="BB9" s="272"/>
      <c r="BC9" s="162">
        <v>1528.08829851</v>
      </c>
      <c r="BD9" s="272"/>
      <c r="BE9" s="162">
        <v>392.11633935000003</v>
      </c>
      <c r="BF9" s="272"/>
      <c r="BG9" s="162">
        <v>1920.20463786</v>
      </c>
      <c r="BH9" s="272"/>
      <c r="BI9" s="162">
        <v>407.17765099999997</v>
      </c>
      <c r="BJ9" s="162">
        <v>504.62999999999994</v>
      </c>
      <c r="BK9" s="162">
        <v>911.80765099999985</v>
      </c>
    </row>
    <row r="10" spans="2:63" ht="15.5" thickTop="1" thickBot="1">
      <c r="B10" s="160" t="s">
        <v>912</v>
      </c>
      <c r="C10" s="163"/>
      <c r="D10" s="160" t="s">
        <v>913</v>
      </c>
      <c r="E10" s="163"/>
      <c r="F10" s="161" t="s">
        <v>769</v>
      </c>
      <c r="G10" s="163"/>
      <c r="H10" s="163"/>
      <c r="I10" s="162">
        <v>535.12055065562504</v>
      </c>
      <c r="J10" s="163"/>
      <c r="K10" s="162">
        <v>559.75763953122498</v>
      </c>
      <c r="L10" s="163"/>
      <c r="M10" s="162">
        <v>578.08634266027502</v>
      </c>
      <c r="N10" s="163"/>
      <c r="O10" s="162">
        <v>512.08199999999999</v>
      </c>
      <c r="P10" s="163"/>
      <c r="Q10" s="162">
        <v>2185.0472285348751</v>
      </c>
      <c r="R10" s="163"/>
      <c r="S10" s="162">
        <v>480.008807273</v>
      </c>
      <c r="T10" s="163"/>
      <c r="U10" s="162">
        <v>491.87409569840003</v>
      </c>
      <c r="V10" s="163"/>
      <c r="W10" s="162">
        <v>971.88290297139997</v>
      </c>
      <c r="X10" s="163"/>
      <c r="Y10" s="162">
        <v>570.78845842860005</v>
      </c>
      <c r="Z10" s="163"/>
      <c r="AA10" s="162">
        <v>1542.6713614</v>
      </c>
      <c r="AB10" s="163"/>
      <c r="AC10" s="162">
        <v>538.4042794799999</v>
      </c>
      <c r="AD10" s="163"/>
      <c r="AE10" s="162">
        <v>2081.0756408799998</v>
      </c>
      <c r="AF10" s="163"/>
      <c r="AG10" s="162">
        <v>517.94178268999997</v>
      </c>
      <c r="AH10" s="163"/>
      <c r="AI10" s="162">
        <v>564.95240118000004</v>
      </c>
      <c r="AJ10" s="255"/>
      <c r="AK10" s="162">
        <v>1082.89418387</v>
      </c>
      <c r="AL10" s="255"/>
      <c r="AM10" s="162">
        <v>0</v>
      </c>
      <c r="AN10" s="255"/>
      <c r="AO10" s="162">
        <v>0</v>
      </c>
      <c r="AP10" s="255"/>
      <c r="AQ10" s="162">
        <v>567.66866060999996</v>
      </c>
      <c r="AR10" s="255"/>
      <c r="AS10" s="162">
        <v>2215.8159999999998</v>
      </c>
      <c r="AT10" s="272"/>
      <c r="AU10" s="162">
        <v>558.43399999999997</v>
      </c>
      <c r="AV10" s="272"/>
      <c r="AW10" s="162">
        <v>498.14241764999997</v>
      </c>
      <c r="AX10" s="272"/>
      <c r="AY10" s="162">
        <v>1056.5764176499999</v>
      </c>
      <c r="AZ10" s="272"/>
      <c r="BA10" s="162">
        <v>471.51188086000002</v>
      </c>
      <c r="BB10" s="272"/>
      <c r="BC10" s="162">
        <v>1528.08829851</v>
      </c>
      <c r="BD10" s="272"/>
      <c r="BE10" s="162">
        <v>391.23433935000003</v>
      </c>
      <c r="BF10" s="272"/>
      <c r="BG10" s="162">
        <v>1919.32263786</v>
      </c>
      <c r="BH10" s="272"/>
      <c r="BI10" s="162">
        <v>442.41265099999998</v>
      </c>
      <c r="BJ10" s="162">
        <v>593.91599999999994</v>
      </c>
      <c r="BK10" s="162">
        <v>1036.3286509999998</v>
      </c>
    </row>
    <row r="11" spans="2:63" ht="15.5" thickTop="1" thickBot="1">
      <c r="B11" s="160" t="s">
        <v>1070</v>
      </c>
      <c r="C11" s="163"/>
      <c r="D11" s="160" t="s">
        <v>1071</v>
      </c>
      <c r="E11" s="163"/>
      <c r="F11" s="161" t="s">
        <v>770</v>
      </c>
      <c r="G11" s="163"/>
      <c r="H11" s="163"/>
      <c r="I11" s="162">
        <v>1114.1099999999999</v>
      </c>
      <c r="J11" s="163"/>
      <c r="K11" s="162">
        <v>1132.586</v>
      </c>
      <c r="L11" s="163"/>
      <c r="M11" s="162">
        <v>1193.3320000000001</v>
      </c>
      <c r="N11" s="163"/>
      <c r="O11" s="162">
        <v>1232.5282391497124</v>
      </c>
      <c r="P11" s="163"/>
      <c r="Q11" s="162">
        <v>4672.5282198221821</v>
      </c>
      <c r="R11" s="163"/>
      <c r="S11" s="162">
        <v>1250.19</v>
      </c>
      <c r="T11" s="163"/>
      <c r="U11" s="162">
        <v>1413.1389999999999</v>
      </c>
      <c r="V11" s="163"/>
      <c r="W11" s="162">
        <v>2663.3289999999997</v>
      </c>
      <c r="X11" s="163"/>
      <c r="Y11" s="162">
        <v>1475.2773260960168</v>
      </c>
      <c r="Z11" s="163"/>
      <c r="AA11" s="162">
        <v>4138.6063260960163</v>
      </c>
      <c r="AB11" s="163"/>
      <c r="AC11" s="162">
        <v>1388</v>
      </c>
      <c r="AE11" s="162">
        <f>S11+U11+Y11+AC11</f>
        <v>5526.6063260960163</v>
      </c>
      <c r="AF11" s="163"/>
      <c r="AG11" s="162">
        <v>1366</v>
      </c>
      <c r="AH11" s="163"/>
      <c r="AI11" s="162">
        <v>1387.7665676551246</v>
      </c>
      <c r="AJ11" s="255"/>
      <c r="AK11" s="162">
        <v>2753.7665676551246</v>
      </c>
      <c r="AL11" s="255"/>
      <c r="AM11" s="162" t="s">
        <v>1242</v>
      </c>
      <c r="AN11" s="255"/>
      <c r="AO11" s="162">
        <v>4139.5264958440812</v>
      </c>
      <c r="AP11" s="255"/>
      <c r="AQ11" s="162">
        <v>1418.8009477704964</v>
      </c>
      <c r="AR11" s="255"/>
      <c r="AS11" s="162">
        <v>5585.8691123549233</v>
      </c>
      <c r="AT11" s="272"/>
      <c r="AU11" s="162">
        <v>1464.4163545380734</v>
      </c>
      <c r="AV11" s="272"/>
      <c r="AW11" s="162">
        <v>1479.4953695414147</v>
      </c>
      <c r="AX11" s="272"/>
      <c r="AY11" s="162">
        <v>2943.9117240794885</v>
      </c>
      <c r="AZ11" s="272"/>
      <c r="BA11" s="162">
        <v>1420.8113234235095</v>
      </c>
      <c r="BB11" s="272"/>
      <c r="BC11" s="162">
        <v>4364.7230475029983</v>
      </c>
      <c r="BD11" s="272"/>
      <c r="BE11" s="162">
        <v>1318.9401310862663</v>
      </c>
      <c r="BF11" s="272"/>
      <c r="BG11" s="162">
        <v>5683.6631785892641</v>
      </c>
      <c r="BH11" s="272"/>
      <c r="BI11" s="162">
        <v>1221.1926208715258</v>
      </c>
      <c r="BJ11" s="162">
        <v>1257.030779921153</v>
      </c>
      <c r="BK11" s="162">
        <v>2478.2234007926791</v>
      </c>
    </row>
    <row r="12" spans="2:63" ht="15.5" thickTop="1" thickBot="1">
      <c r="B12" s="160" t="s">
        <v>914</v>
      </c>
      <c r="C12" s="165"/>
      <c r="D12" s="160" t="s">
        <v>915</v>
      </c>
      <c r="E12" s="165"/>
      <c r="F12" s="161" t="s">
        <v>771</v>
      </c>
      <c r="G12" s="165"/>
      <c r="H12" s="165"/>
      <c r="I12" s="164">
        <v>77.210632516234952</v>
      </c>
      <c r="J12" s="165"/>
      <c r="K12" s="164">
        <v>77.058819146730499</v>
      </c>
      <c r="L12" s="165"/>
      <c r="M12" s="164">
        <v>71.966513956264507</v>
      </c>
      <c r="N12" s="165"/>
      <c r="O12" s="164">
        <v>63.815585427169388</v>
      </c>
      <c r="P12" s="165"/>
      <c r="Q12" s="164">
        <v>72.25417019003973</v>
      </c>
      <c r="R12" s="165"/>
      <c r="S12" s="164">
        <v>62.905093599263168</v>
      </c>
      <c r="T12" s="165"/>
      <c r="U12" s="164">
        <v>61.689453165907622</v>
      </c>
      <c r="V12" s="165"/>
      <c r="W12" s="164">
        <v>62.188202888286455</v>
      </c>
      <c r="X12" s="165"/>
      <c r="Y12" s="164">
        <v>69.47303184504517</v>
      </c>
      <c r="Z12" s="165"/>
      <c r="AA12" s="164">
        <v>64.663343292200437</v>
      </c>
      <c r="AB12" s="165"/>
      <c r="AC12" s="164" t="e">
        <f>AC9*10^3/AC$11/AC$38</f>
        <v>#DIV/0!</v>
      </c>
      <c r="AD12" s="165"/>
      <c r="AE12" s="164">
        <f>AE9*10^3/AE$11/AE$38</f>
        <v>65.676520384325272</v>
      </c>
      <c r="AF12" s="165"/>
      <c r="AG12" s="164" t="e">
        <f>AG9*10^3/AG$11/AG$38</f>
        <v>#DIV/0!</v>
      </c>
      <c r="AH12" s="165"/>
      <c r="AI12" s="164">
        <v>73.601793759869452</v>
      </c>
      <c r="AJ12" s="256"/>
      <c r="AK12" s="164">
        <v>70.868160116678851</v>
      </c>
      <c r="AL12" s="256"/>
      <c r="AM12" s="164" t="e">
        <f>AM9*1000/AM11/AM38</f>
        <v>#VALUE!</v>
      </c>
      <c r="AN12" s="256"/>
      <c r="AO12" s="164" t="e">
        <f>AO9*1000/AO11/AO38</f>
        <v>#DIV/0!</v>
      </c>
      <c r="AP12" s="256"/>
      <c r="AQ12" s="164" t="e">
        <f>AQ9*1000/AQ11/AQ38</f>
        <v>#DIV/0!</v>
      </c>
      <c r="AR12" s="256"/>
      <c r="AS12" s="164">
        <f>AS9*1000/AS11/AS38</f>
        <v>69.37736570952805</v>
      </c>
      <c r="AT12" s="256"/>
      <c r="AU12" s="164">
        <f>AU9*1000/AU11/AU38</f>
        <v>65.161586570708096</v>
      </c>
      <c r="AV12" s="256"/>
      <c r="AW12" s="164">
        <f>AW9*1000/AW11/AW38</f>
        <v>59.42356386005217</v>
      </c>
      <c r="AX12" s="272"/>
      <c r="AY12" s="164">
        <f>AY9*1000/AY11/AY38</f>
        <v>62.319077504378541</v>
      </c>
      <c r="AZ12" s="272"/>
      <c r="BA12" s="164">
        <f>BA9*1000/BA11/BA38</f>
        <v>60.904847656834619</v>
      </c>
      <c r="BB12" s="272"/>
      <c r="BC12" s="164">
        <f>BC9*1000/BC11/BC38</f>
        <v>61.96252727560352</v>
      </c>
      <c r="BD12" s="272"/>
      <c r="BE12" s="164">
        <f>BE9*1000/BE11/BE38</f>
        <v>55.100944141487624</v>
      </c>
      <c r="BF12" s="256"/>
      <c r="BG12" s="164">
        <f>BG9*1000/BG11/BG38</f>
        <v>60.481927751041418</v>
      </c>
      <c r="BH12" s="272"/>
      <c r="BI12" s="164">
        <f>BI9*1000/BI11/BI38</f>
        <v>63.399983466511976</v>
      </c>
      <c r="BJ12" s="164">
        <f>BJ9*1000/BJ11/BJ38</f>
        <v>79.503422872901339</v>
      </c>
      <c r="BK12" s="164">
        <f>BK9*1000/BK11/BK38</f>
        <v>71.383354635726747</v>
      </c>
    </row>
    <row r="13" spans="2:63" ht="15.5" thickTop="1" thickBot="1">
      <c r="B13" s="160" t="s">
        <v>916</v>
      </c>
      <c r="C13" s="165"/>
      <c r="D13" s="160" t="s">
        <v>917</v>
      </c>
      <c r="E13" s="165"/>
      <c r="F13" s="161" t="s">
        <v>771</v>
      </c>
      <c r="G13" s="165"/>
      <c r="H13" s="304"/>
      <c r="I13" s="164">
        <v>91.837883966101415</v>
      </c>
      <c r="J13" s="165"/>
      <c r="K13" s="164">
        <v>100.45319115148961</v>
      </c>
      <c r="L13" s="165"/>
      <c r="M13" s="164">
        <v>92.292803917538933</v>
      </c>
      <c r="N13" s="165"/>
      <c r="O13" s="164">
        <v>79.0569255142413</v>
      </c>
      <c r="P13" s="165"/>
      <c r="Q13" s="304">
        <f>Q10*10^3/Q11/Q38</f>
        <v>90.557132450528471</v>
      </c>
      <c r="R13" s="165"/>
      <c r="S13" s="164">
        <v>73.90938288767191</v>
      </c>
      <c r="T13" s="165"/>
      <c r="U13" s="164">
        <v>70.306489665817935</v>
      </c>
      <c r="V13" s="165"/>
      <c r="W13" s="164">
        <v>71.940925898248423</v>
      </c>
      <c r="X13" s="165"/>
      <c r="Y13" s="164">
        <v>79.280512946870559</v>
      </c>
      <c r="Z13" s="165"/>
      <c r="AA13" s="164">
        <v>74.426426879471464</v>
      </c>
      <c r="AB13" s="165"/>
      <c r="AC13" s="164" t="e">
        <f>AC10*10^3/AC$11/AC$38</f>
        <v>#DIV/0!</v>
      </c>
      <c r="AD13" s="165"/>
      <c r="AE13" s="304">
        <f>AE10*10^3/AE11/AE38</f>
        <v>75.393194219312292</v>
      </c>
      <c r="AF13" s="165"/>
      <c r="AG13" s="164" t="e">
        <f>AG10*10^3/AG$11/AG$38</f>
        <v>#DIV/0!</v>
      </c>
      <c r="AH13" s="165"/>
      <c r="AI13" s="164">
        <v>78.031746064336375</v>
      </c>
      <c r="AJ13" s="256"/>
      <c r="AK13" s="164">
        <v>77.388823469584011</v>
      </c>
      <c r="AL13" s="256"/>
      <c r="AM13" s="164">
        <v>0</v>
      </c>
      <c r="AN13" s="256"/>
      <c r="AO13" s="164" t="e">
        <f>AO10*1000/AO11/AO38</f>
        <v>#DIV/0!</v>
      </c>
      <c r="AP13" s="256"/>
      <c r="AQ13" s="164" t="e">
        <f>AQ10*1000/AQ11/AQ38</f>
        <v>#DIV/0!</v>
      </c>
      <c r="AR13" s="256"/>
      <c r="AS13" s="304">
        <f>AS10*10^3/AS11/AS38</f>
        <v>73.602979299581747</v>
      </c>
      <c r="AT13" s="256"/>
      <c r="AU13" s="304">
        <f>AU10*10^3/AU11/AU38</f>
        <v>65.161586570708096</v>
      </c>
      <c r="AV13" s="256"/>
      <c r="AW13" s="304">
        <f>AW10*10^3/AW11/AW38</f>
        <v>59.42356386005217</v>
      </c>
      <c r="AX13" s="256"/>
      <c r="AY13" s="304">
        <f>AY10*10^3/AY11/AY38</f>
        <v>62.319077504378541</v>
      </c>
      <c r="AZ13" s="256"/>
      <c r="BA13" s="304">
        <f>BA10*10^3/BA11/BA38</f>
        <v>60.904847656834619</v>
      </c>
      <c r="BB13" s="256"/>
      <c r="BC13" s="304">
        <f>BC10*10^3/BC11/BC38</f>
        <v>61.96252727560352</v>
      </c>
      <c r="BD13" s="256"/>
      <c r="BE13" s="304">
        <f>BE10*10^3/BE11/BE38</f>
        <v>54.977003800686326</v>
      </c>
      <c r="BF13" s="256"/>
      <c r="BG13" s="304">
        <f>BG10*10^3/BG11/BG38</f>
        <v>60.454146826433366</v>
      </c>
      <c r="BH13" s="256"/>
      <c r="BI13" s="304">
        <v>68.886282657924497</v>
      </c>
      <c r="BJ13" s="304">
        <f>BJ10*10^3/BJ11/BJ38</f>
        <v>93.570249289542957</v>
      </c>
      <c r="BK13" s="304">
        <f>BK10*10^3/BK11/BK38</f>
        <v>81.131821533155005</v>
      </c>
    </row>
    <row r="14" spans="2:63" ht="15" thickTop="1">
      <c r="C14" s="165"/>
      <c r="E14" s="165"/>
      <c r="G14" s="165"/>
      <c r="H14" s="165"/>
      <c r="I14" s="165"/>
      <c r="J14" s="165"/>
      <c r="K14" s="165"/>
      <c r="L14" s="165"/>
      <c r="M14" s="165"/>
      <c r="N14" s="165"/>
      <c r="O14" s="165"/>
      <c r="P14" s="165"/>
      <c r="Q14" s="165"/>
      <c r="R14" s="165"/>
      <c r="S14" s="165"/>
      <c r="T14" s="165"/>
      <c r="U14" s="165"/>
      <c r="V14" s="165"/>
      <c r="W14" s="165"/>
      <c r="X14" s="165"/>
      <c r="Y14" s="165"/>
      <c r="Z14" s="165"/>
      <c r="AA14" s="165"/>
      <c r="AB14" s="165"/>
      <c r="AC14" s="165"/>
      <c r="AD14" s="165"/>
      <c r="AE14" s="165"/>
      <c r="AF14" s="165"/>
      <c r="AG14" s="165"/>
      <c r="AH14" s="165"/>
      <c r="AI14" s="165"/>
      <c r="AJ14" s="257"/>
      <c r="AK14" s="165"/>
      <c r="AL14" s="257"/>
      <c r="AM14" s="165"/>
      <c r="AN14" s="257"/>
      <c r="AO14" s="165"/>
      <c r="AP14" s="257"/>
      <c r="AQ14" s="165"/>
      <c r="AR14" s="257"/>
      <c r="AS14" s="165"/>
      <c r="AT14" s="257"/>
      <c r="AU14" s="165"/>
      <c r="AV14" s="257"/>
      <c r="AW14" s="165"/>
      <c r="AX14" s="257"/>
      <c r="AY14" s="165"/>
      <c r="AZ14" s="257"/>
      <c r="BA14" s="165"/>
      <c r="BB14" s="257"/>
      <c r="BC14" s="165"/>
      <c r="BD14" s="257"/>
      <c r="BE14" s="165"/>
      <c r="BF14" s="257"/>
      <c r="BG14" s="165"/>
      <c r="BH14" s="257"/>
      <c r="BI14" s="165"/>
      <c r="BJ14" s="165"/>
      <c r="BK14" s="165"/>
    </row>
    <row r="15" spans="2:63" ht="15" thickBot="1">
      <c r="B15" s="166" t="s">
        <v>53</v>
      </c>
      <c r="C15" s="167"/>
      <c r="D15" s="166" t="s">
        <v>775</v>
      </c>
      <c r="E15" s="166"/>
      <c r="F15" s="167"/>
      <c r="G15" s="165"/>
      <c r="H15" s="165"/>
      <c r="I15" s="165"/>
      <c r="J15" s="165"/>
      <c r="K15" s="165"/>
      <c r="L15" s="165"/>
      <c r="M15" s="165"/>
      <c r="N15" s="165"/>
      <c r="O15" s="165"/>
      <c r="P15" s="165"/>
      <c r="Q15" s="165"/>
      <c r="R15" s="165"/>
      <c r="S15" s="165"/>
      <c r="T15" s="165"/>
      <c r="U15" s="165"/>
      <c r="V15" s="165"/>
      <c r="W15" s="165"/>
      <c r="X15" s="165"/>
      <c r="Y15" s="165"/>
      <c r="Z15" s="165"/>
      <c r="AA15" s="165"/>
      <c r="AB15" s="165"/>
      <c r="AC15" s="165"/>
      <c r="AD15" s="165"/>
      <c r="AE15" s="165"/>
      <c r="AF15" s="165"/>
      <c r="AG15" s="165"/>
      <c r="AH15" s="165"/>
      <c r="AI15" s="165"/>
      <c r="AJ15" s="257"/>
      <c r="AK15" s="165"/>
      <c r="AL15" s="257"/>
      <c r="AM15" s="165"/>
      <c r="AN15" s="257"/>
      <c r="AO15" s="165"/>
      <c r="AP15" s="257"/>
      <c r="AQ15" s="165"/>
      <c r="AR15" s="257"/>
      <c r="AS15" s="165"/>
      <c r="AT15" s="257"/>
      <c r="AU15" s="165"/>
      <c r="AV15" s="257"/>
      <c r="AW15" s="165"/>
      <c r="AX15" s="257"/>
      <c r="AY15" s="165"/>
      <c r="AZ15" s="257"/>
      <c r="BA15" s="165"/>
      <c r="BB15" s="257"/>
      <c r="BC15" s="165"/>
      <c r="BD15" s="257"/>
      <c r="BE15" s="165"/>
      <c r="BF15" s="257"/>
      <c r="BG15" s="165"/>
      <c r="BH15" s="257"/>
      <c r="BI15" s="165"/>
      <c r="BJ15" s="165"/>
      <c r="BK15" s="165"/>
    </row>
    <row r="16" spans="2:63" ht="15.5" thickTop="1" thickBot="1">
      <c r="B16" s="160" t="s">
        <v>91</v>
      </c>
      <c r="C16" s="161"/>
      <c r="D16" s="160" t="s">
        <v>618</v>
      </c>
      <c r="E16" s="161"/>
      <c r="F16" s="161" t="s">
        <v>769</v>
      </c>
      <c r="G16" s="163"/>
      <c r="H16" s="163"/>
      <c r="I16" s="162">
        <v>253.58544934437501</v>
      </c>
      <c r="J16" s="163"/>
      <c r="K16" s="162">
        <v>261.61236046877502</v>
      </c>
      <c r="L16" s="163"/>
      <c r="M16" s="162">
        <v>354.07665732879997</v>
      </c>
      <c r="N16" s="163"/>
      <c r="O16" s="162">
        <v>363.25030431225002</v>
      </c>
      <c r="P16" s="163"/>
      <c r="Q16" s="162">
        <v>1232.5227714651251</v>
      </c>
      <c r="R16" s="163"/>
      <c r="S16" s="162">
        <v>310.671192727</v>
      </c>
      <c r="T16" s="163"/>
      <c r="U16" s="162">
        <v>226.7259043016</v>
      </c>
      <c r="V16" s="163"/>
      <c r="W16" s="162">
        <v>537.3970970286</v>
      </c>
      <c r="X16" s="163"/>
      <c r="Y16" s="162">
        <v>247.65054157139991</v>
      </c>
      <c r="Z16" s="163"/>
      <c r="AA16" s="162">
        <v>785.04763859999991</v>
      </c>
      <c r="AB16" s="163"/>
      <c r="AC16" s="162">
        <v>216.44700658959994</v>
      </c>
      <c r="AD16" s="163"/>
      <c r="AE16" s="162">
        <v>1001.4946451896</v>
      </c>
      <c r="AF16" s="163"/>
      <c r="AG16" s="162">
        <v>284.88201968000004</v>
      </c>
      <c r="AH16" s="163"/>
      <c r="AI16" s="162">
        <v>285.91844555</v>
      </c>
      <c r="AJ16" s="255"/>
      <c r="AK16" s="162">
        <v>570.8004652300001</v>
      </c>
      <c r="AL16" s="255"/>
      <c r="AM16" s="162">
        <v>534.51815552000005</v>
      </c>
      <c r="AN16" s="255"/>
      <c r="AO16" s="162">
        <f>SUM(AM16,AK16)</f>
        <v>1105.3186207500003</v>
      </c>
      <c r="AP16" s="255"/>
      <c r="AQ16" s="162">
        <v>562.43466060999992</v>
      </c>
      <c r="AR16" s="255"/>
      <c r="AS16" s="162">
        <v>2088.6039999999998</v>
      </c>
      <c r="AT16" s="272"/>
      <c r="AU16" s="162">
        <v>301.94939964999998</v>
      </c>
      <c r="AV16" s="272"/>
      <c r="AW16" s="162">
        <v>305.94710253000005</v>
      </c>
      <c r="AX16" s="272"/>
      <c r="AY16" s="162">
        <v>607.89650218000008</v>
      </c>
      <c r="AZ16" s="272"/>
      <c r="BA16" s="162">
        <v>298.65837427999998</v>
      </c>
      <c r="BB16" s="272"/>
      <c r="BC16" s="162">
        <v>906.55487645999995</v>
      </c>
      <c r="BD16" s="272"/>
      <c r="BE16" s="162">
        <v>294.31312353999999</v>
      </c>
      <c r="BF16" s="272"/>
      <c r="BG16" s="162">
        <v>1200.8679999999999</v>
      </c>
      <c r="BH16" s="272"/>
      <c r="BI16" s="162">
        <v>263.42500000000001</v>
      </c>
      <c r="BJ16" s="162">
        <v>279.14999999999998</v>
      </c>
      <c r="BK16" s="162">
        <f>BJ16+BI16</f>
        <v>542.57500000000005</v>
      </c>
    </row>
    <row r="17" spans="2:63" ht="6" customHeight="1" thickTop="1">
      <c r="C17" s="165"/>
      <c r="E17" s="165"/>
      <c r="G17" s="165"/>
      <c r="H17" s="165"/>
      <c r="I17" s="165"/>
      <c r="J17" s="165"/>
      <c r="K17" s="165"/>
      <c r="L17" s="165"/>
      <c r="M17" s="165"/>
      <c r="N17" s="165"/>
      <c r="O17" s="165"/>
      <c r="P17" s="165"/>
      <c r="Q17" s="165"/>
      <c r="R17" s="165"/>
      <c r="S17" s="165"/>
      <c r="T17" s="165"/>
      <c r="U17" s="165"/>
      <c r="V17" s="165"/>
      <c r="W17" s="165"/>
      <c r="X17" s="165"/>
      <c r="Y17" s="165"/>
      <c r="Z17" s="165"/>
      <c r="AA17" s="165"/>
      <c r="AB17" s="165"/>
      <c r="AC17" s="165"/>
      <c r="AD17" s="165"/>
      <c r="AE17" s="165"/>
      <c r="AF17" s="165"/>
      <c r="AG17" s="165"/>
      <c r="AH17" s="165"/>
      <c r="AI17" s="165"/>
      <c r="AJ17" s="257"/>
      <c r="AK17" s="165"/>
      <c r="AL17" s="257"/>
      <c r="AM17" s="165"/>
      <c r="AN17" s="257"/>
      <c r="AO17" s="165"/>
      <c r="AP17" s="257"/>
      <c r="AQ17" s="165"/>
      <c r="AR17" s="257"/>
      <c r="AS17" s="165"/>
      <c r="AT17" s="257"/>
      <c r="AU17" s="165"/>
      <c r="AV17" s="257"/>
      <c r="AW17" s="165"/>
      <c r="AX17" s="257"/>
      <c r="AY17" s="165"/>
      <c r="AZ17" s="257"/>
      <c r="BA17" s="165"/>
      <c r="BB17" s="257"/>
      <c r="BC17" s="165"/>
      <c r="BD17" s="257"/>
      <c r="BE17" s="165"/>
      <c r="BF17" s="257"/>
      <c r="BG17" s="165"/>
      <c r="BH17" s="257"/>
      <c r="BI17" s="165"/>
      <c r="BJ17" s="165"/>
      <c r="BK17" s="165"/>
    </row>
    <row r="18" spans="2:63" ht="15" thickBot="1">
      <c r="B18" s="187" t="s">
        <v>885</v>
      </c>
      <c r="C18" s="165"/>
      <c r="E18" s="165"/>
      <c r="G18" s="165"/>
      <c r="H18" s="165"/>
      <c r="I18" s="165"/>
      <c r="J18" s="165"/>
      <c r="K18" s="165"/>
      <c r="L18" s="165"/>
      <c r="M18" s="165"/>
      <c r="N18" s="165"/>
      <c r="O18" s="165"/>
      <c r="P18" s="165"/>
      <c r="Q18" s="165"/>
      <c r="R18" s="165"/>
      <c r="S18" s="165"/>
      <c r="T18" s="165"/>
      <c r="U18" s="165"/>
      <c r="V18" s="165"/>
      <c r="W18" s="165"/>
      <c r="X18" s="165"/>
      <c r="Y18" s="165"/>
      <c r="Z18" s="165"/>
      <c r="AA18" s="165"/>
      <c r="AB18" s="165"/>
      <c r="AC18" s="165"/>
      <c r="AD18" s="165"/>
      <c r="AE18" s="165"/>
      <c r="AF18" s="165"/>
      <c r="AG18" s="165"/>
      <c r="AH18" s="165"/>
      <c r="AI18" s="165"/>
      <c r="AJ18" s="257"/>
      <c r="AK18" s="165"/>
      <c r="AL18" s="257"/>
      <c r="AM18" s="165"/>
      <c r="AN18" s="257"/>
      <c r="AO18" s="165"/>
      <c r="AP18" s="257"/>
      <c r="AQ18" s="165"/>
      <c r="AR18" s="257"/>
      <c r="AS18" s="165"/>
      <c r="AT18" s="257"/>
      <c r="AU18" s="165"/>
      <c r="AV18" s="257"/>
      <c r="AW18" s="165"/>
      <c r="AX18" s="257"/>
      <c r="AY18" s="165"/>
      <c r="AZ18" s="257"/>
      <c r="BA18" s="165"/>
      <c r="BB18" s="257"/>
      <c r="BC18" s="165"/>
      <c r="BD18" s="257"/>
      <c r="BE18" s="165"/>
      <c r="BF18" s="257"/>
      <c r="BG18" s="165"/>
      <c r="BH18" s="257"/>
      <c r="BI18" s="165"/>
      <c r="BJ18" s="165"/>
      <c r="BK18" s="165"/>
    </row>
    <row r="19" spans="2:63" ht="15.5" thickTop="1" thickBot="1">
      <c r="B19" s="160" t="s">
        <v>768</v>
      </c>
      <c r="C19" s="165"/>
      <c r="D19" s="160" t="s">
        <v>886</v>
      </c>
      <c r="E19" s="165"/>
      <c r="F19" s="161" t="s">
        <v>887</v>
      </c>
      <c r="G19" s="165"/>
      <c r="H19" s="163"/>
      <c r="I19" s="162">
        <v>45129.416810976902</v>
      </c>
      <c r="J19" s="163"/>
      <c r="K19" s="162">
        <v>48712.665817000001</v>
      </c>
      <c r="L19" s="163"/>
      <c r="M19" s="162">
        <v>53826.839423999962</v>
      </c>
      <c r="N19" s="163"/>
      <c r="O19" s="162">
        <v>61700.287996000014</v>
      </c>
      <c r="P19" s="163"/>
      <c r="Q19" s="162">
        <v>209369.21004797687</v>
      </c>
      <c r="R19" s="163"/>
      <c r="S19" s="162">
        <v>60178.729010000039</v>
      </c>
      <c r="T19" s="163"/>
      <c r="U19" s="162">
        <v>62962.254945000044</v>
      </c>
      <c r="V19" s="163"/>
      <c r="W19" s="162">
        <v>123140.98395500009</v>
      </c>
      <c r="X19" s="163"/>
      <c r="Y19" s="162">
        <v>75397.259533087883</v>
      </c>
      <c r="Z19" s="163"/>
      <c r="AA19" s="162">
        <v>198538.24348808799</v>
      </c>
      <c r="AB19" s="163"/>
      <c r="AC19" s="162">
        <v>63562.649634999994</v>
      </c>
      <c r="AD19" s="163"/>
      <c r="AE19" s="162">
        <v>262100.893123088</v>
      </c>
      <c r="AF19" s="163"/>
      <c r="AG19" s="162">
        <v>68071.981098999997</v>
      </c>
      <c r="AH19" s="163"/>
      <c r="AI19" s="162">
        <v>72029.160799000005</v>
      </c>
      <c r="AJ19" s="255"/>
      <c r="AK19" s="162">
        <v>140101.141898</v>
      </c>
      <c r="AL19" s="255"/>
      <c r="AM19" s="162">
        <v>69452.534224500007</v>
      </c>
      <c r="AN19" s="255"/>
      <c r="AO19" s="162">
        <v>209553.67612249998</v>
      </c>
      <c r="AP19" s="255"/>
      <c r="AQ19" s="162">
        <v>70530.3735285</v>
      </c>
      <c r="AR19" s="255"/>
      <c r="AS19" s="162">
        <v>280084.04965099995</v>
      </c>
      <c r="AT19" s="272"/>
      <c r="AU19" s="162">
        <v>67948.4730805</v>
      </c>
      <c r="AV19" s="272"/>
      <c r="AW19" s="162">
        <v>69871.877095499993</v>
      </c>
      <c r="AX19" s="272"/>
      <c r="AY19" s="162">
        <v>137820.35017599998</v>
      </c>
      <c r="AZ19" s="272"/>
      <c r="BA19" s="162">
        <v>67373.440253000008</v>
      </c>
      <c r="BB19" s="272"/>
      <c r="BC19" s="162">
        <v>205193.79042899999</v>
      </c>
      <c r="BD19" s="272"/>
      <c r="BE19" s="162">
        <v>64579.426016000005</v>
      </c>
      <c r="BF19" s="272"/>
      <c r="BG19" s="162">
        <v>269773.21644499997</v>
      </c>
      <c r="BH19" s="272"/>
      <c r="BI19" s="162">
        <v>67517.334299999988</v>
      </c>
      <c r="BJ19" s="162">
        <v>68344.541599999997</v>
      </c>
      <c r="BK19" s="162">
        <v>135861.87589999998</v>
      </c>
    </row>
    <row r="20" spans="2:63" ht="15.5" thickTop="1" thickBot="1">
      <c r="B20" s="160" t="s">
        <v>888</v>
      </c>
      <c r="C20" s="165"/>
      <c r="D20" s="160" t="s">
        <v>889</v>
      </c>
      <c r="E20" s="165"/>
      <c r="F20" s="161" t="s">
        <v>887</v>
      </c>
      <c r="G20" s="165"/>
      <c r="H20" s="163"/>
      <c r="I20" s="162">
        <v>56117.978595139226</v>
      </c>
      <c r="J20" s="163"/>
      <c r="K20" s="162">
        <v>68221.306590000022</v>
      </c>
      <c r="L20" s="163"/>
      <c r="M20" s="162">
        <v>78896.121860000028</v>
      </c>
      <c r="N20" s="163"/>
      <c r="O20" s="162">
        <v>79821.678899999955</v>
      </c>
      <c r="P20" s="163"/>
      <c r="Q20" s="162">
        <v>283057.08594513923</v>
      </c>
      <c r="R20" s="163"/>
      <c r="S20" s="162">
        <v>90413.626871999702</v>
      </c>
      <c r="T20" s="163"/>
      <c r="U20" s="162">
        <v>88605.756254400025</v>
      </c>
      <c r="V20" s="163"/>
      <c r="W20" s="162">
        <v>179019.38312639971</v>
      </c>
      <c r="X20" s="163"/>
      <c r="Y20" s="162">
        <v>90529.39821812023</v>
      </c>
      <c r="Z20" s="163"/>
      <c r="AA20" s="162">
        <v>269548.78134451993</v>
      </c>
      <c r="AB20" s="163"/>
      <c r="AC20" s="162">
        <v>94597.028011565199</v>
      </c>
      <c r="AD20" s="163"/>
      <c r="AE20" s="162">
        <v>364145.80935608514</v>
      </c>
      <c r="AF20" s="163"/>
      <c r="AG20" s="162">
        <v>91091.820843640919</v>
      </c>
      <c r="AH20" s="163"/>
      <c r="AI20" s="162">
        <v>88245.941477638451</v>
      </c>
      <c r="AJ20" s="255"/>
      <c r="AK20" s="162">
        <v>179337.76232127938</v>
      </c>
      <c r="AL20" s="255"/>
      <c r="AM20" s="162">
        <v>94496.865253232623</v>
      </c>
      <c r="AN20" s="255"/>
      <c r="AO20" s="162">
        <v>273834.62757451198</v>
      </c>
      <c r="AP20" s="255"/>
      <c r="AQ20" s="162">
        <v>86786.303853894889</v>
      </c>
      <c r="AR20" s="255"/>
      <c r="AS20" s="162">
        <v>360620.9314284068</v>
      </c>
      <c r="AT20" s="272"/>
      <c r="AU20" s="162">
        <v>88719.393050260798</v>
      </c>
      <c r="AV20" s="272"/>
      <c r="AW20" s="162">
        <v>89668.505113248975</v>
      </c>
      <c r="AX20" s="272"/>
      <c r="AY20" s="162">
        <v>178387.89816350979</v>
      </c>
      <c r="AZ20" s="272"/>
      <c r="BA20" s="162">
        <v>91120.746950973567</v>
      </c>
      <c r="BB20" s="272"/>
      <c r="BC20" s="162">
        <v>269508.64511448337</v>
      </c>
      <c r="BD20" s="272"/>
      <c r="BE20" s="162">
        <v>90506.451086413814</v>
      </c>
      <c r="BF20" s="272"/>
      <c r="BG20" s="162">
        <v>360015.09620089718</v>
      </c>
      <c r="BH20" s="272"/>
      <c r="BI20" s="162">
        <v>83765.655420567302</v>
      </c>
      <c r="BJ20" s="162">
        <v>82510.577318985321</v>
      </c>
      <c r="BK20" s="162">
        <v>166276.23273955262</v>
      </c>
    </row>
    <row r="21" spans="2:63" ht="15.5" thickTop="1" thickBot="1">
      <c r="B21" s="160" t="s">
        <v>890</v>
      </c>
      <c r="C21" s="165"/>
      <c r="D21" s="160" t="s">
        <v>891</v>
      </c>
      <c r="E21" s="165"/>
      <c r="F21" s="161" t="s">
        <v>887</v>
      </c>
      <c r="G21" s="165"/>
      <c r="H21" s="163"/>
      <c r="I21" s="162">
        <v>101247.39540611612</v>
      </c>
      <c r="J21" s="163"/>
      <c r="K21" s="162">
        <v>116933.97240700002</v>
      </c>
      <c r="L21" s="163"/>
      <c r="M21" s="162">
        <v>132722.96128399999</v>
      </c>
      <c r="N21" s="163"/>
      <c r="O21" s="162">
        <v>141521.96689599997</v>
      </c>
      <c r="P21" s="163"/>
      <c r="Q21" s="162">
        <v>492426.2959931161</v>
      </c>
      <c r="R21" s="163"/>
      <c r="S21" s="162">
        <v>150592.35588199974</v>
      </c>
      <c r="T21" s="163"/>
      <c r="U21" s="162">
        <v>151568.01119940006</v>
      </c>
      <c r="V21" s="163"/>
      <c r="W21" s="162">
        <v>302160.36708139977</v>
      </c>
      <c r="X21" s="163"/>
      <c r="Y21" s="162">
        <v>165926.65775120811</v>
      </c>
      <c r="Z21" s="163"/>
      <c r="AA21" s="162">
        <v>468087.02483260789</v>
      </c>
      <c r="AB21" s="163"/>
      <c r="AC21" s="162">
        <v>158159.67764656519</v>
      </c>
      <c r="AD21" s="163"/>
      <c r="AE21" s="162">
        <v>626246.7024791732</v>
      </c>
      <c r="AF21" s="163"/>
      <c r="AG21" s="162">
        <f>SUM(AG19:AG20)</f>
        <v>159163.80194264092</v>
      </c>
      <c r="AH21" s="163"/>
      <c r="AI21" s="162">
        <v>160275.10227663844</v>
      </c>
      <c r="AJ21" s="255"/>
      <c r="AK21" s="162">
        <v>319438.90421927941</v>
      </c>
      <c r="AL21" s="255"/>
      <c r="AM21" s="162">
        <f>AM20+AM19</f>
        <v>163949.39947773263</v>
      </c>
      <c r="AN21" s="255"/>
      <c r="AO21" s="162">
        <f>AO20+AO19</f>
        <v>483388.30369701196</v>
      </c>
      <c r="AP21" s="255"/>
      <c r="AQ21" s="162">
        <f>AQ20+AQ19</f>
        <v>157316.6773823949</v>
      </c>
      <c r="AR21" s="255"/>
      <c r="AS21" s="162">
        <f>AS20+AS19</f>
        <v>640704.9810794068</v>
      </c>
      <c r="AT21" s="272"/>
      <c r="AU21" s="162">
        <v>156667.86613076081</v>
      </c>
      <c r="AV21" s="272"/>
      <c r="AW21" s="162">
        <v>159540.38220874895</v>
      </c>
      <c r="AX21" s="272"/>
      <c r="AY21" s="162">
        <v>316208.24833950977</v>
      </c>
      <c r="AZ21" s="272"/>
      <c r="BA21" s="162">
        <v>158494.18720397359</v>
      </c>
      <c r="BB21" s="272"/>
      <c r="BC21" s="162">
        <v>474702.43554348336</v>
      </c>
      <c r="BD21" s="272"/>
      <c r="BE21" s="162">
        <v>155085.87710241383</v>
      </c>
      <c r="BF21" s="272"/>
      <c r="BG21" s="162">
        <v>629788.31264589715</v>
      </c>
      <c r="BH21" s="272"/>
      <c r="BI21" s="162">
        <v>151282.9897205673</v>
      </c>
      <c r="BJ21" s="162">
        <v>150855.1189189853</v>
      </c>
      <c r="BK21" s="162">
        <v>302138.10863955261</v>
      </c>
    </row>
    <row r="22" spans="2:63" ht="6" customHeight="1" thickTop="1">
      <c r="C22" s="165"/>
      <c r="E22" s="165"/>
      <c r="G22" s="165"/>
      <c r="H22" s="165"/>
      <c r="I22" s="165"/>
      <c r="J22" s="165"/>
      <c r="K22" s="165"/>
      <c r="L22" s="165"/>
      <c r="M22" s="165"/>
      <c r="N22" s="165"/>
      <c r="O22" s="165"/>
      <c r="P22" s="165"/>
      <c r="Q22" s="165"/>
      <c r="R22" s="165"/>
      <c r="S22" s="165"/>
      <c r="T22" s="165"/>
      <c r="U22" s="165"/>
      <c r="V22" s="165"/>
      <c r="W22" s="165"/>
      <c r="X22" s="165"/>
      <c r="Y22" s="165"/>
      <c r="Z22" s="165"/>
      <c r="AA22" s="165"/>
      <c r="AB22" s="165"/>
      <c r="AC22" s="165"/>
      <c r="AD22" s="165"/>
      <c r="AE22" s="165"/>
      <c r="AF22" s="165"/>
      <c r="AG22" s="165"/>
      <c r="AH22" s="165"/>
      <c r="AI22" s="165"/>
      <c r="AJ22" s="257"/>
      <c r="AK22" s="165"/>
      <c r="AL22" s="257"/>
      <c r="AM22" s="165"/>
      <c r="AN22" s="257"/>
      <c r="AO22" s="165"/>
      <c r="AP22" s="257"/>
      <c r="AQ22" s="165"/>
      <c r="AR22" s="257"/>
      <c r="AS22" s="165"/>
      <c r="AT22" s="257"/>
      <c r="AU22" s="165"/>
      <c r="AV22" s="257"/>
      <c r="AW22" s="165"/>
      <c r="AX22" s="257"/>
      <c r="AY22" s="165"/>
      <c r="AZ22" s="257"/>
      <c r="BA22" s="165"/>
      <c r="BB22" s="257"/>
      <c r="BC22" s="165"/>
      <c r="BD22" s="257"/>
      <c r="BE22" s="165"/>
      <c r="BF22" s="257"/>
      <c r="BG22" s="165"/>
      <c r="BH22" s="257"/>
      <c r="BI22" s="165"/>
      <c r="BJ22" s="165"/>
      <c r="BK22" s="165"/>
    </row>
    <row r="23" spans="2:63" ht="15" thickBot="1">
      <c r="B23" s="187" t="s">
        <v>892</v>
      </c>
      <c r="C23" s="165"/>
      <c r="E23" s="165"/>
      <c r="G23" s="165"/>
      <c r="H23" s="165"/>
      <c r="I23" s="165"/>
      <c r="J23" s="165"/>
      <c r="K23" s="165"/>
      <c r="L23" s="165"/>
      <c r="M23" s="165"/>
      <c r="N23" s="165"/>
      <c r="O23" s="165"/>
      <c r="P23" s="165"/>
      <c r="Q23" s="165"/>
      <c r="R23" s="165"/>
      <c r="S23" s="165"/>
      <c r="T23" s="165"/>
      <c r="U23" s="165"/>
      <c r="V23" s="165"/>
      <c r="W23" s="165"/>
      <c r="X23" s="165"/>
      <c r="Y23" s="165"/>
      <c r="Z23" s="165"/>
      <c r="AA23" s="165"/>
      <c r="AB23" s="165"/>
      <c r="AC23" s="165"/>
      <c r="AD23" s="165"/>
      <c r="AE23" s="165"/>
      <c r="AF23" s="165"/>
      <c r="AG23" s="165"/>
      <c r="AH23" s="165"/>
      <c r="AI23" s="165"/>
      <c r="AJ23" s="257"/>
      <c r="AK23" s="165"/>
      <c r="AL23" s="257"/>
      <c r="AM23" s="165"/>
      <c r="AN23" s="257"/>
      <c r="AO23" s="165"/>
      <c r="AP23" s="257"/>
      <c r="AQ23" s="165"/>
      <c r="AR23" s="257"/>
      <c r="AS23" s="165"/>
      <c r="AT23" s="257"/>
      <c r="AU23" s="165"/>
      <c r="AV23" s="257"/>
      <c r="AW23" s="165"/>
      <c r="AX23" s="257"/>
      <c r="AY23" s="165"/>
      <c r="AZ23" s="257"/>
      <c r="BA23" s="165"/>
      <c r="BB23" s="257"/>
      <c r="BC23" s="165"/>
      <c r="BD23" s="257"/>
      <c r="BE23" s="165"/>
      <c r="BF23" s="257"/>
      <c r="BG23" s="165"/>
      <c r="BH23" s="257"/>
      <c r="BI23" s="165"/>
      <c r="BJ23" s="165"/>
      <c r="BK23" s="165"/>
    </row>
    <row r="24" spans="2:63" ht="15.5" thickTop="1" thickBot="1">
      <c r="B24" s="160" t="s">
        <v>768</v>
      </c>
      <c r="C24" s="165"/>
      <c r="D24" s="160" t="s">
        <v>886</v>
      </c>
      <c r="E24" s="165"/>
      <c r="F24" s="186" t="s">
        <v>893</v>
      </c>
      <c r="G24" s="165"/>
      <c r="H24" s="189"/>
      <c r="I24" s="188">
        <v>0.9</v>
      </c>
      <c r="J24" s="189"/>
      <c r="K24" s="188">
        <v>0.9</v>
      </c>
      <c r="L24" s="189"/>
      <c r="M24" s="188">
        <v>0.91</v>
      </c>
      <c r="N24" s="189"/>
      <c r="O24" s="188">
        <v>0.92</v>
      </c>
      <c r="P24" s="189"/>
      <c r="Q24" s="188">
        <v>0.90846482705720633</v>
      </c>
      <c r="R24" s="189"/>
      <c r="S24" s="188">
        <v>0.89</v>
      </c>
      <c r="T24" s="189"/>
      <c r="U24" s="188">
        <v>0.56999999999999995</v>
      </c>
      <c r="V24" s="189"/>
      <c r="W24" s="188">
        <v>0.72638329875809049</v>
      </c>
      <c r="X24" s="189"/>
      <c r="Y24" s="188">
        <v>0.76</v>
      </c>
      <c r="Z24" s="189"/>
      <c r="AA24" s="188">
        <v>0.73914964091793045</v>
      </c>
      <c r="AB24" s="189"/>
      <c r="AC24" s="188">
        <v>0.48</v>
      </c>
      <c r="AD24" s="189"/>
      <c r="AE24" s="188">
        <v>0.67630270578380725</v>
      </c>
      <c r="AF24" s="189"/>
      <c r="AG24" s="188">
        <f>AG28/AG19</f>
        <v>0.90644857118198741</v>
      </c>
      <c r="AH24" s="189"/>
      <c r="AI24" s="188">
        <v>0.92096844393501454</v>
      </c>
      <c r="AJ24" s="258"/>
      <c r="AK24" s="188">
        <v>0.91391356565055681</v>
      </c>
      <c r="AL24" s="258"/>
      <c r="AM24" s="188">
        <f>AM28/AM19</f>
        <v>0.85283137675889831</v>
      </c>
      <c r="AN24" s="258"/>
      <c r="AO24" s="188">
        <f>AO28/AO19</f>
        <v>0.89366904933853886</v>
      </c>
      <c r="AP24" s="258"/>
      <c r="AQ24" s="188">
        <f>AQ28/AQ19</f>
        <v>0.86882072116737719</v>
      </c>
      <c r="AR24" s="258"/>
      <c r="AS24" s="188">
        <f>AS28/AS19</f>
        <v>0.88741177810279892</v>
      </c>
      <c r="AT24" s="273"/>
      <c r="AU24" s="188">
        <f>AU28/AU19</f>
        <v>0.88501060831164735</v>
      </c>
      <c r="AV24" s="273"/>
      <c r="AW24" s="188">
        <f>AW28/AW19</f>
        <v>0.92949788131746069</v>
      </c>
      <c r="AX24" s="273"/>
      <c r="AY24" s="188">
        <f>AY28/AY19</f>
        <v>0.90756467429541998</v>
      </c>
      <c r="AZ24" s="273"/>
      <c r="BA24" s="188">
        <f>BA28/BA19</f>
        <v>0.8602580195726679</v>
      </c>
      <c r="BB24" s="273"/>
      <c r="BC24" s="188">
        <f>BC28/BC19</f>
        <v>0.89203198166924891</v>
      </c>
      <c r="BD24" s="273"/>
      <c r="BE24" s="188">
        <f>BE28/BE19</f>
        <v>0.94645859671540888</v>
      </c>
      <c r="BF24" s="273"/>
      <c r="BG24" s="188">
        <f>BG28/BG19</f>
        <v>0.90506084941969656</v>
      </c>
      <c r="BH24" s="273"/>
      <c r="BI24" s="188">
        <v>0.92007388328183548</v>
      </c>
      <c r="BJ24" s="188">
        <f t="shared" ref="BJ24:BK25" si="0">BJ28/BJ19</f>
        <v>0.70907409907528818</v>
      </c>
      <c r="BK24" s="188">
        <f t="shared" si="0"/>
        <v>0.81393164555865238</v>
      </c>
    </row>
    <row r="25" spans="2:63" ht="15.5" thickTop="1" thickBot="1">
      <c r="B25" s="160" t="s">
        <v>888</v>
      </c>
      <c r="C25" s="165"/>
      <c r="D25" s="160" t="s">
        <v>889</v>
      </c>
      <c r="E25" s="165"/>
      <c r="F25" s="186" t="s">
        <v>893</v>
      </c>
      <c r="G25" s="165"/>
      <c r="H25" s="189"/>
      <c r="I25" s="188">
        <v>0.92</v>
      </c>
      <c r="J25" s="189"/>
      <c r="K25" s="188">
        <v>0.95</v>
      </c>
      <c r="L25" s="189"/>
      <c r="M25" s="188">
        <v>0.96</v>
      </c>
      <c r="N25" s="189"/>
      <c r="O25" s="188">
        <v>0.94</v>
      </c>
      <c r="P25" s="189"/>
      <c r="Q25" s="188">
        <v>0.94401959882897168</v>
      </c>
      <c r="R25" s="189"/>
      <c r="S25" s="188">
        <v>0.94</v>
      </c>
      <c r="T25" s="189"/>
      <c r="U25" s="188">
        <v>0.93</v>
      </c>
      <c r="V25" s="189"/>
      <c r="W25" s="188">
        <v>0.93505049371151971</v>
      </c>
      <c r="X25" s="189"/>
      <c r="Y25" s="188">
        <v>0.96</v>
      </c>
      <c r="Z25" s="189"/>
      <c r="AA25" s="188">
        <v>0.94342991868561532</v>
      </c>
      <c r="AB25" s="189"/>
      <c r="AC25" s="188">
        <v>0.96</v>
      </c>
      <c r="AD25" s="189"/>
      <c r="AE25" s="188">
        <v>0.94773445935580047</v>
      </c>
      <c r="AF25" s="189"/>
      <c r="AG25" s="188">
        <f>AG29/AG20</f>
        <v>0.94702328359831822</v>
      </c>
      <c r="AH25" s="189"/>
      <c r="AI25" s="188">
        <v>0.9518532761164632</v>
      </c>
      <c r="AJ25" s="258"/>
      <c r="AK25" s="188">
        <v>0.94939995670707522</v>
      </c>
      <c r="AL25" s="258"/>
      <c r="AM25" s="188">
        <f>AM29/AM20</f>
        <v>0.93328341625700961</v>
      </c>
      <c r="AN25" s="258"/>
      <c r="AO25" s="188">
        <f>AO29/AO20</f>
        <v>0.94383834251405774</v>
      </c>
      <c r="AP25" s="258"/>
      <c r="AQ25" s="188">
        <f>AQ29/AQ20</f>
        <v>0.96113954193229023</v>
      </c>
      <c r="AR25" s="258"/>
      <c r="AS25" s="188">
        <f>AS29/AS20</f>
        <v>0.94800201416728158</v>
      </c>
      <c r="AT25" s="273"/>
      <c r="AU25" s="188">
        <f>AU29/AU20</f>
        <v>0.91124969117114063</v>
      </c>
      <c r="AV25" s="273"/>
      <c r="AW25" s="188">
        <f>AW29/AW20</f>
        <v>0.93407296690242203</v>
      </c>
      <c r="AX25" s="273"/>
      <c r="AY25" s="188">
        <f>AY29/AY20</f>
        <v>0.92272204460811902</v>
      </c>
      <c r="AZ25" s="273"/>
      <c r="BA25" s="188">
        <f>BA29/BA20</f>
        <v>0.93226260627496882</v>
      </c>
      <c r="BB25" s="273"/>
      <c r="BC25" s="188">
        <f>BC29/BC20</f>
        <v>0.92594770404863846</v>
      </c>
      <c r="BD25" s="273"/>
      <c r="BE25" s="188">
        <f>BE29/BE20</f>
        <v>0.9221572806824847</v>
      </c>
      <c r="BF25" s="273"/>
      <c r="BG25" s="188">
        <f>BG29/BG20</f>
        <v>0.924994805765745</v>
      </c>
      <c r="BH25" s="273"/>
      <c r="BI25" s="188">
        <v>0.93637407699122877</v>
      </c>
      <c r="BJ25" s="188">
        <f t="shared" si="0"/>
        <v>0.94116307861592852</v>
      </c>
      <c r="BK25" s="188">
        <f t="shared" si="0"/>
        <v>0.93875050375003366</v>
      </c>
    </row>
    <row r="26" spans="2:63" ht="15" thickTop="1">
      <c r="C26" s="165"/>
      <c r="E26" s="165"/>
      <c r="G26" s="165"/>
      <c r="H26" s="165"/>
      <c r="I26" s="165"/>
      <c r="J26" s="165"/>
      <c r="K26" s="165"/>
      <c r="L26" s="165"/>
      <c r="M26" s="165"/>
      <c r="N26" s="165"/>
      <c r="O26" s="165"/>
      <c r="P26" s="165"/>
      <c r="Q26" s="165"/>
      <c r="R26" s="165"/>
      <c r="S26" s="165"/>
      <c r="T26" s="165"/>
      <c r="U26" s="165"/>
      <c r="V26" s="165"/>
      <c r="W26" s="165"/>
      <c r="X26" s="165"/>
      <c r="Y26" s="165"/>
      <c r="Z26" s="165"/>
      <c r="AA26" s="165"/>
      <c r="AB26" s="165"/>
      <c r="AC26" s="165"/>
      <c r="AD26" s="165"/>
      <c r="AE26" s="165"/>
      <c r="AF26" s="165"/>
      <c r="AG26" s="165"/>
      <c r="AH26" s="165"/>
      <c r="AI26" s="165"/>
      <c r="AJ26" s="257"/>
      <c r="AK26" s="165"/>
      <c r="AL26" s="257"/>
      <c r="AM26" s="165"/>
      <c r="AN26" s="257"/>
      <c r="AO26" s="165"/>
      <c r="AP26" s="257"/>
      <c r="AQ26" s="165"/>
      <c r="AR26" s="257"/>
      <c r="AS26" s="165"/>
      <c r="AT26" s="257"/>
      <c r="AU26" s="165"/>
      <c r="AV26" s="257"/>
      <c r="AW26" s="165"/>
      <c r="AX26" s="257"/>
      <c r="AY26" s="165"/>
      <c r="AZ26" s="257"/>
      <c r="BA26" s="165"/>
      <c r="BB26" s="257"/>
      <c r="BC26" s="165"/>
      <c r="BD26" s="257"/>
      <c r="BE26" s="165"/>
      <c r="BF26" s="257"/>
      <c r="BG26" s="165"/>
      <c r="BH26" s="257"/>
      <c r="BI26" s="165"/>
      <c r="BJ26" s="165"/>
      <c r="BK26" s="165"/>
    </row>
    <row r="27" spans="2:63" ht="15" thickBot="1">
      <c r="B27" s="187" t="s">
        <v>1072</v>
      </c>
      <c r="C27" s="165"/>
      <c r="E27" s="165"/>
      <c r="G27" s="165"/>
      <c r="H27" s="165"/>
      <c r="I27" s="165"/>
      <c r="J27" s="165"/>
      <c r="K27" s="165"/>
      <c r="L27" s="165"/>
      <c r="M27" s="165"/>
      <c r="N27" s="165"/>
      <c r="O27" s="165"/>
      <c r="P27" s="165"/>
      <c r="Q27" s="165"/>
      <c r="R27" s="165"/>
      <c r="S27" s="165"/>
      <c r="T27" s="165"/>
      <c r="U27" s="165"/>
      <c r="V27" s="165"/>
      <c r="W27" s="165"/>
      <c r="X27" s="165"/>
      <c r="Y27" s="165"/>
      <c r="Z27" s="165"/>
      <c r="AA27" s="165"/>
      <c r="AB27" s="165"/>
      <c r="AC27" s="165"/>
      <c r="AD27" s="165"/>
      <c r="AE27" s="165"/>
      <c r="AF27" s="165"/>
      <c r="AG27" s="165"/>
      <c r="AH27" s="165"/>
      <c r="AI27" s="165"/>
      <c r="AJ27" s="257"/>
      <c r="AK27" s="165"/>
      <c r="AL27" s="257"/>
      <c r="AM27" s="165"/>
      <c r="AN27" s="257"/>
      <c r="AO27" s="165"/>
      <c r="AP27" s="257"/>
      <c r="AQ27" s="165"/>
      <c r="AR27" s="257"/>
      <c r="AS27" s="165"/>
      <c r="AT27" s="257"/>
      <c r="AU27" s="165"/>
      <c r="AV27" s="257"/>
      <c r="AW27" s="165"/>
      <c r="AX27" s="257"/>
      <c r="AY27" s="165"/>
      <c r="AZ27" s="257"/>
      <c r="BA27" s="165"/>
      <c r="BB27" s="257"/>
      <c r="BC27" s="165"/>
      <c r="BD27" s="257"/>
      <c r="BE27" s="165"/>
      <c r="BF27" s="257"/>
      <c r="BG27" s="165"/>
      <c r="BH27" s="257"/>
      <c r="BI27" s="165"/>
      <c r="BJ27" s="165"/>
      <c r="BK27" s="165"/>
    </row>
    <row r="28" spans="2:63" ht="15.5" thickTop="1" thickBot="1">
      <c r="B28" s="160" t="s">
        <v>768</v>
      </c>
      <c r="C28" s="165"/>
      <c r="D28" s="160" t="s">
        <v>886</v>
      </c>
      <c r="E28" s="165"/>
      <c r="F28" s="161" t="s">
        <v>887</v>
      </c>
      <c r="G28" s="165"/>
      <c r="H28" s="163"/>
      <c r="I28" s="162">
        <v>40616.475129879211</v>
      </c>
      <c r="J28" s="163"/>
      <c r="K28" s="162">
        <v>43841.399235299999</v>
      </c>
      <c r="L28" s="163"/>
      <c r="M28" s="162">
        <v>48982.423875839966</v>
      </c>
      <c r="N28" s="163"/>
      <c r="O28" s="162">
        <v>56764.264956320018</v>
      </c>
      <c r="P28" s="163"/>
      <c r="Q28" s="162">
        <v>190204.56319733922</v>
      </c>
      <c r="R28" s="163"/>
      <c r="S28" s="162">
        <v>53559.068818900036</v>
      </c>
      <c r="T28" s="163"/>
      <c r="U28" s="162">
        <v>35888.485318650019</v>
      </c>
      <c r="V28" s="163"/>
      <c r="W28" s="162">
        <v>89447.554137550062</v>
      </c>
      <c r="X28" s="163"/>
      <c r="Y28" s="162">
        <v>57301.917245146789</v>
      </c>
      <c r="Z28" s="163"/>
      <c r="AA28" s="162">
        <v>146749.47138269685</v>
      </c>
      <c r="AB28" s="163"/>
      <c r="AC28" s="162">
        <v>30510.071824799998</v>
      </c>
      <c r="AD28" s="163"/>
      <c r="AE28" s="162">
        <v>177259.54320749684</v>
      </c>
      <c r="AF28" s="163"/>
      <c r="AG28" s="162">
        <v>61703.750004715803</v>
      </c>
      <c r="AH28" s="163"/>
      <c r="AI28" s="162">
        <v>66336.584138999984</v>
      </c>
      <c r="AJ28" s="255"/>
      <c r="AK28" s="162">
        <v>128040.33414371579</v>
      </c>
      <c r="AL28" s="255"/>
      <c r="AM28" s="162">
        <v>59231.300382074842</v>
      </c>
      <c r="AN28" s="255"/>
      <c r="AO28" s="162">
        <v>187271.63452579064</v>
      </c>
      <c r="AP28" s="255"/>
      <c r="AQ28" s="162">
        <v>61278.249993235862</v>
      </c>
      <c r="AR28" s="255"/>
      <c r="AS28" s="162">
        <v>248549.88451902647</v>
      </c>
      <c r="AT28" s="272"/>
      <c r="AU28" s="162">
        <v>60135.119494820901</v>
      </c>
      <c r="AV28" s="272"/>
      <c r="AW28" s="162">
        <v>64945.76172394125</v>
      </c>
      <c r="AX28" s="272"/>
      <c r="AY28" s="162">
        <v>125080.88121876215</v>
      </c>
      <c r="AZ28" s="272"/>
      <c r="BA28" s="162">
        <v>57958.54228384325</v>
      </c>
      <c r="BB28" s="272"/>
      <c r="BC28" s="162">
        <v>183039.42350260541</v>
      </c>
      <c r="BD28" s="272"/>
      <c r="BE28" s="162">
        <v>61121.752923789936</v>
      </c>
      <c r="BF28" s="272"/>
      <c r="BG28" s="162">
        <v>244161.17642639534</v>
      </c>
      <c r="BH28" s="272"/>
      <c r="BI28" s="162">
        <v>62120.935958238857</v>
      </c>
      <c r="BJ28" s="162">
        <v>48461.344261733553</v>
      </c>
      <c r="BK28" s="162">
        <f>BJ28+BI28</f>
        <v>110582.28021997241</v>
      </c>
    </row>
    <row r="29" spans="2:63" ht="15.5" thickTop="1" thickBot="1">
      <c r="B29" s="160" t="s">
        <v>888</v>
      </c>
      <c r="C29" s="165"/>
      <c r="D29" s="160" t="s">
        <v>889</v>
      </c>
      <c r="E29" s="165"/>
      <c r="F29" s="161" t="s">
        <v>887</v>
      </c>
      <c r="G29" s="165"/>
      <c r="H29" s="163"/>
      <c r="I29" s="162">
        <v>51628.540307528092</v>
      </c>
      <c r="J29" s="163"/>
      <c r="K29" s="162">
        <v>64810.241260500021</v>
      </c>
      <c r="L29" s="163"/>
      <c r="M29" s="162">
        <v>75740.276985600023</v>
      </c>
      <c r="N29" s="163"/>
      <c r="O29" s="162">
        <v>75032.378165999951</v>
      </c>
      <c r="P29" s="163"/>
      <c r="Q29" s="162">
        <v>267211.43671962811</v>
      </c>
      <c r="R29" s="163"/>
      <c r="S29" s="162">
        <v>84988.809259679721</v>
      </c>
      <c r="T29" s="163"/>
      <c r="U29" s="162">
        <v>82403.353316592023</v>
      </c>
      <c r="V29" s="163"/>
      <c r="W29" s="162">
        <v>167392.16257627174</v>
      </c>
      <c r="X29" s="163"/>
      <c r="Y29" s="162">
        <v>86908.222289395417</v>
      </c>
      <c r="Z29" s="163"/>
      <c r="AA29" s="162">
        <v>254300.38486566715</v>
      </c>
      <c r="AB29" s="163"/>
      <c r="AC29" s="162">
        <v>90813.146891102588</v>
      </c>
      <c r="AD29" s="163"/>
      <c r="AE29" s="162">
        <v>345113.53175676975</v>
      </c>
      <c r="AF29" s="163"/>
      <c r="AG29" s="162">
        <v>86266.075284294551</v>
      </c>
      <c r="AH29" s="163"/>
      <c r="AI29" s="162">
        <v>83997.188499471842</v>
      </c>
      <c r="AJ29" s="255"/>
      <c r="AK29" s="162">
        <v>170263.26378376639</v>
      </c>
      <c r="AL29" s="255"/>
      <c r="AM29" s="162">
        <v>88192.357229115252</v>
      </c>
      <c r="AN29" s="255"/>
      <c r="AO29" s="162">
        <v>258455.62101288169</v>
      </c>
      <c r="AP29" s="255"/>
      <c r="AQ29" s="162">
        <v>83413.748332129093</v>
      </c>
      <c r="AR29" s="255"/>
      <c r="AS29" s="162">
        <v>341869.36934501078</v>
      </c>
      <c r="AT29" s="272"/>
      <c r="AU29" s="162">
        <v>80845.519517941197</v>
      </c>
      <c r="AV29" s="272"/>
      <c r="AW29" s="162">
        <v>83756.926608837472</v>
      </c>
      <c r="AX29" s="272"/>
      <c r="AY29" s="162">
        <v>164602.44612677867</v>
      </c>
      <c r="AZ29" s="272"/>
      <c r="BA29" s="162">
        <v>84948.465038236536</v>
      </c>
      <c r="BB29" s="272"/>
      <c r="BC29" s="162">
        <v>249550.91116501519</v>
      </c>
      <c r="BD29" s="272"/>
      <c r="BE29" s="162">
        <v>83461.182818069676</v>
      </c>
      <c r="BF29" s="272"/>
      <c r="BG29" s="162">
        <v>333012.09398308489</v>
      </c>
      <c r="BH29" s="272"/>
      <c r="BI29" s="162">
        <v>78435.988277999029</v>
      </c>
      <c r="BJ29" s="162">
        <v>77655.908967913827</v>
      </c>
      <c r="BK29" s="162">
        <f>BJ29+BI29</f>
        <v>156091.89724591287</v>
      </c>
    </row>
    <row r="30" spans="2:63" ht="15.5" thickTop="1" thickBot="1">
      <c r="B30" s="160" t="s">
        <v>1073</v>
      </c>
      <c r="C30" s="165"/>
      <c r="D30" s="160" t="s">
        <v>1074</v>
      </c>
      <c r="E30" s="165"/>
      <c r="F30" s="161" t="s">
        <v>894</v>
      </c>
      <c r="G30" s="165"/>
      <c r="H30" s="163"/>
      <c r="I30" s="162">
        <v>92245.015437407303</v>
      </c>
      <c r="J30" s="163"/>
      <c r="K30" s="162">
        <v>108651.64049580002</v>
      </c>
      <c r="L30" s="163"/>
      <c r="M30" s="162">
        <v>124722.70086143998</v>
      </c>
      <c r="N30" s="163"/>
      <c r="O30" s="162">
        <v>131796.64312231998</v>
      </c>
      <c r="P30" s="163"/>
      <c r="Q30" s="162">
        <v>457415.99991696735</v>
      </c>
      <c r="R30" s="163"/>
      <c r="S30" s="162">
        <v>138547.87807857976</v>
      </c>
      <c r="T30" s="163"/>
      <c r="U30" s="162">
        <v>118291.83863524205</v>
      </c>
      <c r="V30" s="163"/>
      <c r="W30" s="162">
        <v>256839.71671382181</v>
      </c>
      <c r="X30" s="163"/>
      <c r="Y30" s="162">
        <v>144210.13953454222</v>
      </c>
      <c r="Z30" s="163"/>
      <c r="AA30" s="162">
        <v>401049.85624836397</v>
      </c>
      <c r="AB30" s="163"/>
      <c r="AC30" s="162">
        <v>121323.21871590259</v>
      </c>
      <c r="AD30" s="163"/>
      <c r="AE30" s="162">
        <v>522373.07496426662</v>
      </c>
      <c r="AF30" s="163"/>
      <c r="AG30" s="162">
        <f>SUM(AG28:AG29)</f>
        <v>147969.82528901036</v>
      </c>
      <c r="AH30" s="163"/>
      <c r="AI30" s="162">
        <v>150333.77263847183</v>
      </c>
      <c r="AJ30" s="255"/>
      <c r="AK30" s="162">
        <v>298303.59792748222</v>
      </c>
      <c r="AL30" s="255"/>
      <c r="AM30" s="162">
        <f>SUM(AM28:AM29)</f>
        <v>147423.65761119011</v>
      </c>
      <c r="AN30" s="255"/>
      <c r="AO30" s="162">
        <f>SUM(AO28:AO29)</f>
        <v>445727.25553867233</v>
      </c>
      <c r="AP30" s="255"/>
      <c r="AQ30" s="162">
        <f>AQ29+AQ28</f>
        <v>144691.99832536496</v>
      </c>
      <c r="AR30" s="255"/>
      <c r="AS30" s="162">
        <f>AS29+AS28</f>
        <v>590419.25386403722</v>
      </c>
      <c r="AT30" s="272"/>
      <c r="AU30" s="162">
        <v>140980.63901276211</v>
      </c>
      <c r="AV30" s="272"/>
      <c r="AW30" s="162">
        <v>148702.68833277872</v>
      </c>
      <c r="AX30" s="272"/>
      <c r="AY30" s="162">
        <v>289683.32734554081</v>
      </c>
      <c r="AZ30" s="272"/>
      <c r="BA30" s="162">
        <v>142907.00732207979</v>
      </c>
      <c r="BB30" s="272"/>
      <c r="BC30" s="162">
        <v>432590.3346676206</v>
      </c>
      <c r="BD30" s="272"/>
      <c r="BE30" s="162">
        <v>144582.9357418596</v>
      </c>
      <c r="BF30" s="272"/>
      <c r="BG30" s="162">
        <v>577173.2704094802</v>
      </c>
      <c r="BH30" s="272"/>
      <c r="BI30" s="162">
        <v>140556.92423623789</v>
      </c>
      <c r="BJ30" s="162">
        <v>126117.25322964738</v>
      </c>
      <c r="BK30" s="162">
        <f>BJ30+BI30</f>
        <v>266674.1774658853</v>
      </c>
    </row>
    <row r="31" spans="2:63" ht="15" thickTop="1">
      <c r="C31" s="165"/>
      <c r="E31" s="165"/>
      <c r="G31" s="165"/>
      <c r="H31" s="165"/>
      <c r="I31" s="165"/>
      <c r="J31" s="165"/>
      <c r="K31" s="165"/>
      <c r="L31" s="165"/>
      <c r="M31" s="165"/>
      <c r="N31" s="165"/>
      <c r="O31" s="165"/>
      <c r="P31" s="165"/>
      <c r="Q31" s="165"/>
      <c r="R31" s="165"/>
      <c r="S31" s="165"/>
      <c r="T31" s="165"/>
      <c r="V31" s="165"/>
      <c r="W31" s="165"/>
      <c r="X31" s="165"/>
      <c r="Z31" s="165"/>
      <c r="AA31" s="165"/>
      <c r="AB31" s="165"/>
      <c r="AC31" s="165"/>
      <c r="AD31" s="165"/>
      <c r="AE31" s="165"/>
      <c r="AF31" s="165"/>
      <c r="AG31" s="243"/>
      <c r="AH31" s="165"/>
      <c r="AI31" s="243"/>
      <c r="AJ31" s="257"/>
      <c r="AK31" s="243"/>
      <c r="AL31" s="257"/>
      <c r="AM31" s="243"/>
      <c r="AN31" s="257"/>
      <c r="AO31" s="243"/>
      <c r="AP31" s="257"/>
      <c r="AQ31" s="243"/>
      <c r="AR31" s="257"/>
      <c r="AS31" s="243"/>
      <c r="AT31" s="274"/>
      <c r="AU31" s="243"/>
      <c r="AV31" s="274"/>
      <c r="AW31" s="243"/>
      <c r="AX31" s="274"/>
      <c r="AY31" s="243"/>
      <c r="AZ31" s="274"/>
      <c r="BA31" s="243"/>
      <c r="BB31" s="274"/>
      <c r="BC31" s="243"/>
      <c r="BD31" s="274"/>
      <c r="BE31" s="243"/>
      <c r="BF31" s="274"/>
      <c r="BG31" s="243"/>
      <c r="BH31" s="274"/>
      <c r="BI31" s="243"/>
      <c r="BJ31" s="243"/>
      <c r="BK31" s="243"/>
    </row>
    <row r="32" spans="2:63" ht="15" thickBot="1">
      <c r="B32" s="187" t="s">
        <v>895</v>
      </c>
      <c r="C32" s="165"/>
      <c r="E32" s="165"/>
      <c r="G32" s="165"/>
      <c r="H32" s="165"/>
      <c r="I32" s="165"/>
      <c r="J32" s="165"/>
      <c r="K32" s="165"/>
      <c r="L32" s="165"/>
      <c r="M32" s="165"/>
      <c r="N32" s="165"/>
      <c r="O32" s="165"/>
      <c r="P32" s="165"/>
      <c r="Q32" s="165"/>
      <c r="R32" s="165"/>
      <c r="S32" s="165"/>
      <c r="T32" s="165"/>
      <c r="U32" s="165"/>
      <c r="V32" s="165"/>
      <c r="W32" s="165"/>
      <c r="X32" s="165"/>
      <c r="Y32" s="165"/>
      <c r="Z32" s="165"/>
      <c r="AA32" s="165"/>
      <c r="AB32" s="165"/>
      <c r="AC32" s="165"/>
      <c r="AD32" s="165"/>
      <c r="AE32" s="165"/>
      <c r="AF32" s="165"/>
      <c r="AG32" s="243"/>
      <c r="AH32" s="165"/>
      <c r="AI32" s="243"/>
      <c r="AJ32" s="257"/>
      <c r="AK32" s="243"/>
      <c r="AL32" s="257"/>
      <c r="AM32" s="243"/>
      <c r="AN32" s="257"/>
      <c r="AO32" s="243"/>
      <c r="AP32" s="257"/>
      <c r="AQ32" s="243"/>
      <c r="AR32" s="257"/>
      <c r="AS32" s="243"/>
      <c r="AT32" s="274"/>
      <c r="AU32" s="243"/>
      <c r="AV32" s="274"/>
      <c r="AW32" s="243"/>
      <c r="AX32" s="274"/>
      <c r="AY32" s="243"/>
      <c r="AZ32" s="274"/>
      <c r="BA32" s="243"/>
      <c r="BB32" s="274"/>
      <c r="BC32" s="243"/>
      <c r="BD32" s="274"/>
      <c r="BE32" s="243"/>
      <c r="BF32" s="274"/>
      <c r="BG32" s="243"/>
      <c r="BH32" s="274"/>
      <c r="BI32" s="243"/>
      <c r="BJ32" s="243"/>
      <c r="BK32" s="243"/>
    </row>
    <row r="33" spans="2:63" ht="15.5" thickTop="1" thickBot="1">
      <c r="B33" s="160" t="s">
        <v>896</v>
      </c>
      <c r="C33" s="186"/>
      <c r="D33" s="160" t="s">
        <v>897</v>
      </c>
      <c r="E33" s="186"/>
      <c r="F33" s="161" t="s">
        <v>898</v>
      </c>
      <c r="G33" s="163"/>
      <c r="H33" s="163"/>
      <c r="I33" s="164">
        <v>2.7490422993797967</v>
      </c>
      <c r="J33" s="163"/>
      <c r="K33" s="164">
        <v>2.4078086559483451</v>
      </c>
      <c r="L33" s="163"/>
      <c r="M33" s="164">
        <v>2.8389110794045385</v>
      </c>
      <c r="N33" s="163"/>
      <c r="O33" s="164">
        <v>2.7561423091415063</v>
      </c>
      <c r="P33" s="163"/>
      <c r="Q33" s="164">
        <v>2.6945335792557743</v>
      </c>
      <c r="R33" s="163"/>
      <c r="S33" s="164">
        <v>2.2423381507928806</v>
      </c>
      <c r="T33" s="163"/>
      <c r="U33" s="164">
        <v>1.9166656543459355</v>
      </c>
      <c r="V33" s="163"/>
      <c r="W33" s="164">
        <v>2.0923442211524605</v>
      </c>
      <c r="X33" s="163"/>
      <c r="Y33" s="164">
        <v>1.7172893831926495</v>
      </c>
      <c r="Z33" s="163"/>
      <c r="AA33" s="164">
        <v>1.9574814112732959</v>
      </c>
      <c r="AB33" s="163"/>
      <c r="AC33" s="164">
        <v>1.7840526230716369</v>
      </c>
      <c r="AD33" s="163"/>
      <c r="AE33" s="164">
        <v>1.9172018872873722</v>
      </c>
      <c r="AF33" s="163"/>
      <c r="AG33" s="164">
        <f>AG16*10^3/AG30</f>
        <v>1.9252710417382513</v>
      </c>
      <c r="AH33" s="163"/>
      <c r="AI33" s="164">
        <v>1.9018909758726483</v>
      </c>
      <c r="AJ33" s="255"/>
      <c r="AK33" s="164">
        <v>1.9134883695528273</v>
      </c>
      <c r="AL33" s="255"/>
      <c r="AM33" s="164">
        <f>AM16*10^3/AM30</f>
        <v>3.625728490129577</v>
      </c>
      <c r="AN33" s="255"/>
      <c r="AO33" s="164">
        <f>AO16*10^3/AO30</f>
        <v>2.4798093610277334</v>
      </c>
      <c r="AP33" s="255"/>
      <c r="AQ33" s="164">
        <f>AQ16*10^3/AQ30</f>
        <v>3.8871165449333862</v>
      </c>
      <c r="AR33" s="255"/>
      <c r="AS33" s="164">
        <f>AS16*10^3/AS30</f>
        <v>3.537493037923467</v>
      </c>
      <c r="AT33" s="256"/>
      <c r="AU33" s="164">
        <f>AU16*10^3/AU30</f>
        <v>2.1417791958133083</v>
      </c>
      <c r="AV33" s="256"/>
      <c r="AW33" s="164">
        <f>AW16*10^3/AW30</f>
        <v>2.0574416371365611</v>
      </c>
      <c r="AX33" s="256"/>
      <c r="AY33" s="164">
        <f>AY16*10^3/AY30</f>
        <v>2.0984863290212328</v>
      </c>
      <c r="AZ33" s="256"/>
      <c r="BA33" s="164">
        <f>BA16*10^3/BA30</f>
        <v>2.0898791450225542</v>
      </c>
      <c r="BB33" s="256"/>
      <c r="BC33" s="164">
        <f>BC16*10^3/BC30</f>
        <v>2.095642930063494</v>
      </c>
      <c r="BD33" s="256"/>
      <c r="BE33" s="164">
        <f>BE16*10^3/BE30</f>
        <v>2.0356006884897591</v>
      </c>
      <c r="BF33" s="256"/>
      <c r="BG33" s="164">
        <f>BG16*10^3/BG30</f>
        <v>2.0806022412438376</v>
      </c>
      <c r="BH33" s="256"/>
      <c r="BI33" s="164">
        <v>1.8741517106425463</v>
      </c>
      <c r="BJ33" s="164">
        <f>BJ16*10^3/BJ30</f>
        <v>2.2134164267889243</v>
      </c>
      <c r="BK33" s="164">
        <f>BK16*10^3/BK30</f>
        <v>2.0345989445093902</v>
      </c>
    </row>
    <row r="34" spans="2:63" ht="15.5" thickTop="1" thickBot="1">
      <c r="B34" s="160" t="s">
        <v>896</v>
      </c>
      <c r="C34" s="186"/>
      <c r="D34" s="160" t="s">
        <v>897</v>
      </c>
      <c r="E34" s="186"/>
      <c r="F34" s="161" t="s">
        <v>772</v>
      </c>
      <c r="G34" s="163"/>
      <c r="H34" s="192"/>
      <c r="I34" s="191">
        <v>14.091128272658416</v>
      </c>
      <c r="J34" s="192"/>
      <c r="K34" s="191">
        <v>13.119669762099356</v>
      </c>
      <c r="L34" s="192"/>
      <c r="M34" s="191">
        <v>14.499540599296054</v>
      </c>
      <c r="N34" s="192"/>
      <c r="O34" s="191">
        <v>14.059340905333807</v>
      </c>
      <c r="P34" s="192"/>
      <c r="Q34" s="191">
        <v>13.988250512402541</v>
      </c>
      <c r="R34" s="192"/>
      <c r="S34" s="191">
        <v>11.571603169670395</v>
      </c>
      <c r="T34" s="192"/>
      <c r="U34" s="191">
        <v>10.378599207244358</v>
      </c>
      <c r="V34" s="192"/>
      <c r="W34" s="191">
        <v>11.058241429104537</v>
      </c>
      <c r="X34" s="192"/>
      <c r="Y34" s="191">
        <v>9.4335348019587535</v>
      </c>
      <c r="Z34" s="192"/>
      <c r="AA34" s="191">
        <v>10.477834901244417</v>
      </c>
      <c r="AB34" s="192"/>
      <c r="AC34" s="191">
        <v>9.6556423636315092</v>
      </c>
      <c r="AD34" s="192"/>
      <c r="AE34" s="191">
        <v>10.290505055331659</v>
      </c>
      <c r="AF34" s="192"/>
      <c r="AG34" s="191" t="e">
        <f>AG33/AG38*$F$40</f>
        <v>#DIV/0!</v>
      </c>
      <c r="AH34" s="192"/>
      <c r="AI34" s="191">
        <v>9.7729919160822938</v>
      </c>
      <c r="AJ34" s="259"/>
      <c r="AK34" s="191">
        <v>10.09511353896025</v>
      </c>
      <c r="AL34" s="259"/>
      <c r="AM34" s="191" t="e">
        <f>AM33/AM38*$F$40</f>
        <v>#DIV/0!</v>
      </c>
      <c r="AN34" s="259"/>
      <c r="AO34" s="191" t="e">
        <f>AO33/AO38*$F$40</f>
        <v>#DIV/0!</v>
      </c>
      <c r="AP34" s="259"/>
      <c r="AQ34" s="191" t="e">
        <f>AQ33/AQ38*$F$40</f>
        <v>#DIV/0!</v>
      </c>
      <c r="AR34" s="259"/>
      <c r="AS34" s="191">
        <f>AS33/AS38*$F$40</f>
        <v>17.596005288258716</v>
      </c>
      <c r="AT34" s="275"/>
      <c r="AU34" s="191">
        <f>AU33/AU38*$F$40</f>
        <v>9.8112670955488355</v>
      </c>
      <c r="AV34" s="275"/>
      <c r="AW34" s="191">
        <f>AW33/AW38*$F$40</f>
        <v>9.7344706496685856</v>
      </c>
      <c r="AX34" s="275"/>
      <c r="AY34" s="191">
        <f>AY33/AY38*$F$40</f>
        <v>9.7682567246430256</v>
      </c>
      <c r="AZ34" s="275"/>
      <c r="BA34" s="191">
        <f>BA33/BA38*$F$40</f>
        <v>10.282124012146092</v>
      </c>
      <c r="BB34" s="275"/>
      <c r="BC34" s="191">
        <f>BC33/BC38*$F$40</f>
        <v>9.9430743355360249</v>
      </c>
      <c r="BD34" s="275"/>
      <c r="BE34" s="191">
        <f>BE33/BE38*$F$40</f>
        <v>10.114113138766525</v>
      </c>
      <c r="BF34" s="275"/>
      <c r="BG34" s="191">
        <f>BG33/BG38*$F$40</f>
        <v>9.9853097326434934</v>
      </c>
      <c r="BH34" s="275"/>
      <c r="BI34" s="191">
        <v>9.5534483927708713</v>
      </c>
      <c r="BJ34" s="191">
        <f>BJ33/BJ38*$F$40</f>
        <v>11.751352042098697</v>
      </c>
      <c r="BK34" s="191">
        <f>BK33/BK38*$F$40</f>
        <v>10.582274549027407</v>
      </c>
    </row>
    <row r="35" spans="2:63" ht="15" thickTop="1">
      <c r="C35" s="165"/>
      <c r="E35" s="165"/>
      <c r="G35" s="165"/>
      <c r="H35" s="193"/>
      <c r="I35" s="193"/>
      <c r="J35" s="193"/>
      <c r="K35" s="193"/>
      <c r="L35" s="193"/>
      <c r="M35" s="193"/>
      <c r="N35" s="193"/>
      <c r="O35" s="193"/>
      <c r="P35" s="193"/>
      <c r="Q35" s="193"/>
      <c r="R35" s="193"/>
      <c r="S35" s="193"/>
      <c r="T35" s="193"/>
      <c r="U35" s="193"/>
      <c r="V35" s="193"/>
      <c r="W35" s="193"/>
      <c r="X35" s="193"/>
      <c r="Y35" s="193"/>
      <c r="Z35" s="193"/>
      <c r="AA35" s="193"/>
      <c r="AB35" s="193"/>
      <c r="AC35" s="193"/>
      <c r="AD35" s="193"/>
      <c r="AE35" s="193"/>
      <c r="AF35" s="193"/>
      <c r="AG35" s="242"/>
      <c r="AH35" s="193"/>
      <c r="AI35" s="242"/>
      <c r="AJ35" s="193"/>
      <c r="AK35" s="242"/>
      <c r="AL35" s="193"/>
      <c r="AM35" s="242"/>
      <c r="AN35" s="193"/>
      <c r="AO35" s="242"/>
      <c r="AP35" s="193"/>
      <c r="AQ35" s="242"/>
      <c r="AR35" s="193"/>
      <c r="AS35" s="242"/>
      <c r="AT35" s="242"/>
      <c r="AU35" s="242"/>
      <c r="AV35" s="242"/>
      <c r="AW35" s="242"/>
      <c r="AX35" s="242"/>
      <c r="AY35" s="242"/>
      <c r="AZ35" s="242"/>
      <c r="BA35" s="242"/>
      <c r="BB35" s="242"/>
      <c r="BC35" s="242"/>
      <c r="BD35" s="242"/>
      <c r="BE35" s="242"/>
      <c r="BF35" s="242"/>
      <c r="BG35" s="242"/>
      <c r="BH35" s="242"/>
      <c r="BI35" s="242"/>
      <c r="BJ35" s="242"/>
      <c r="BK35" s="242"/>
    </row>
    <row r="36" spans="2:63">
      <c r="AG36" s="241"/>
      <c r="AI36" s="241"/>
      <c r="AK36" s="241"/>
      <c r="AM36" s="241"/>
      <c r="AO36" s="241"/>
      <c r="AQ36" s="241"/>
      <c r="AS36" s="241"/>
      <c r="AT36" s="241"/>
      <c r="AU36" s="241"/>
      <c r="AV36" s="241"/>
      <c r="AW36" s="241"/>
      <c r="AX36" s="241"/>
      <c r="AY36" s="241"/>
      <c r="AZ36" s="241"/>
      <c r="BA36" s="241"/>
      <c r="BB36" s="241"/>
      <c r="BC36" s="241"/>
      <c r="BD36" s="241"/>
      <c r="BE36" s="241"/>
      <c r="BF36" s="241"/>
      <c r="BG36" s="241"/>
      <c r="BH36" s="241"/>
      <c r="BI36" s="241"/>
      <c r="BJ36" s="241"/>
      <c r="BK36" s="241"/>
    </row>
    <row r="37" spans="2:63" ht="15" thickBot="1">
      <c r="B37" s="166" t="s">
        <v>902</v>
      </c>
      <c r="C37" s="167"/>
      <c r="D37" s="166"/>
      <c r="E37" s="166"/>
      <c r="F37" s="167"/>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243"/>
      <c r="AH37" s="165"/>
      <c r="AI37" s="243"/>
      <c r="AJ37" s="257"/>
      <c r="AK37" s="243"/>
      <c r="AL37" s="257"/>
      <c r="AM37" s="243"/>
      <c r="AN37" s="257"/>
      <c r="AO37" s="243"/>
      <c r="AP37" s="257"/>
      <c r="AQ37" s="243"/>
      <c r="AR37" s="257"/>
      <c r="AS37" s="243"/>
      <c r="AT37" s="274"/>
      <c r="AU37" s="243"/>
      <c r="AV37" s="274"/>
      <c r="AW37" s="243"/>
      <c r="AX37" s="274"/>
      <c r="AY37" s="243"/>
      <c r="AZ37" s="274"/>
      <c r="BA37" s="243"/>
      <c r="BB37" s="274"/>
      <c r="BC37" s="243"/>
      <c r="BD37" s="274"/>
      <c r="BE37" s="243"/>
      <c r="BF37" s="274"/>
      <c r="BG37" s="243"/>
      <c r="BH37" s="274"/>
      <c r="BI37" s="243"/>
      <c r="BJ37" s="243"/>
      <c r="BK37" s="243"/>
    </row>
    <row r="38" spans="2:63" ht="15.5" thickTop="1" thickBot="1">
      <c r="B38" s="160" t="s">
        <v>899</v>
      </c>
      <c r="C38" s="161"/>
      <c r="D38" s="160" t="s">
        <v>900</v>
      </c>
      <c r="E38" s="161"/>
      <c r="F38" s="161" t="s">
        <v>901</v>
      </c>
      <c r="G38" s="163"/>
      <c r="H38" s="165"/>
      <c r="I38" s="190">
        <v>0</v>
      </c>
      <c r="J38" s="165"/>
      <c r="K38" s="190">
        <v>0</v>
      </c>
      <c r="L38" s="165"/>
      <c r="M38" s="190">
        <v>0</v>
      </c>
      <c r="N38" s="165"/>
      <c r="O38" s="190">
        <v>0</v>
      </c>
      <c r="P38" s="165"/>
      <c r="Q38" s="190">
        <v>5.1639999999999997</v>
      </c>
      <c r="R38" s="165"/>
      <c r="S38" s="190">
        <v>0</v>
      </c>
      <c r="T38" s="165"/>
      <c r="U38" s="190">
        <v>0</v>
      </c>
      <c r="V38" s="165"/>
      <c r="W38" s="190">
        <v>0</v>
      </c>
      <c r="X38" s="165"/>
      <c r="Y38" s="190">
        <v>0</v>
      </c>
      <c r="Z38" s="214"/>
      <c r="AA38" s="190">
        <v>0</v>
      </c>
      <c r="AB38" s="165"/>
      <c r="AC38" s="190">
        <v>0</v>
      </c>
      <c r="AD38" s="214"/>
      <c r="AE38" s="190">
        <v>4.9945595126994577</v>
      </c>
      <c r="AF38" s="214"/>
      <c r="AG38" s="190">
        <v>0</v>
      </c>
      <c r="AH38" s="214"/>
      <c r="AI38" s="190">
        <v>0</v>
      </c>
      <c r="AJ38" s="260"/>
      <c r="AK38" s="190">
        <v>0</v>
      </c>
      <c r="AL38" s="260"/>
      <c r="AM38" s="190">
        <v>0</v>
      </c>
      <c r="AN38" s="260"/>
      <c r="AO38" s="190">
        <v>0</v>
      </c>
      <c r="AP38" s="260"/>
      <c r="AQ38" s="190">
        <v>0</v>
      </c>
      <c r="AR38" s="260"/>
      <c r="AS38" s="190">
        <v>5.3894884410631319</v>
      </c>
      <c r="AT38" s="276"/>
      <c r="AU38" s="190">
        <v>5.852152459016394</v>
      </c>
      <c r="AV38" s="276"/>
      <c r="AW38" s="190">
        <v>5.6660606557377058</v>
      </c>
      <c r="AX38" s="276"/>
      <c r="AY38" s="190">
        <v>5.7591065573770495</v>
      </c>
      <c r="AZ38" s="276"/>
      <c r="BA38" s="190">
        <v>5.4488439393939396</v>
      </c>
      <c r="BB38" s="276"/>
      <c r="BC38" s="190">
        <v>5.650184574468085</v>
      </c>
      <c r="BD38" s="276"/>
      <c r="BE38" s="190">
        <v>5.3954890624999985</v>
      </c>
      <c r="BF38" s="276"/>
      <c r="BG38" s="190">
        <v>5.5859051383399221</v>
      </c>
      <c r="BH38" s="276"/>
      <c r="BI38" s="190">
        <v>5.2590901639344265</v>
      </c>
      <c r="BJ38" s="190">
        <v>5.0494180327868863</v>
      </c>
      <c r="BK38" s="190">
        <v>5.1542540983606564</v>
      </c>
    </row>
    <row r="39" spans="2:63" ht="15.5" thickTop="1" thickBot="1">
      <c r="B39" s="160" t="s">
        <v>903</v>
      </c>
      <c r="C39" s="161"/>
      <c r="D39" s="160" t="s">
        <v>904</v>
      </c>
      <c r="E39" s="161"/>
      <c r="F39" s="202" t="s">
        <v>905</v>
      </c>
      <c r="G39" s="163"/>
      <c r="H39" s="192"/>
      <c r="I39" s="191">
        <v>5.23</v>
      </c>
      <c r="J39" s="192"/>
      <c r="K39" s="191">
        <v>4.92</v>
      </c>
      <c r="L39" s="192"/>
      <c r="M39" s="191">
        <v>5.248842995169082</v>
      </c>
      <c r="N39" s="192"/>
      <c r="O39" s="191">
        <v>5.255362903225806</v>
      </c>
      <c r="P39" s="192"/>
      <c r="Q39" s="191">
        <v>101.19</v>
      </c>
      <c r="R39" s="192"/>
      <c r="S39" s="191">
        <v>5.1948571428571437</v>
      </c>
      <c r="T39" s="192"/>
      <c r="U39" s="191">
        <v>4.9507803030303021</v>
      </c>
      <c r="V39" s="192"/>
      <c r="W39" s="191">
        <v>5.0723954142878052</v>
      </c>
      <c r="X39" s="192"/>
      <c r="Y39" s="191">
        <v>4.88017126984127</v>
      </c>
      <c r="Z39" s="215"/>
      <c r="AA39" s="191">
        <v>5.0083206994722929</v>
      </c>
      <c r="AB39" s="192"/>
      <c r="AC39" s="191">
        <v>4.9532759523809533</v>
      </c>
      <c r="AD39" s="215"/>
      <c r="AE39" s="191">
        <v>82.617557205964914</v>
      </c>
      <c r="AF39" s="215"/>
      <c r="AG39" s="191">
        <v>4.9456967741935474</v>
      </c>
      <c r="AH39" s="215"/>
      <c r="AI39" s="191">
        <v>5.2170393578643584</v>
      </c>
      <c r="AJ39" s="261"/>
      <c r="AK39" s="191">
        <v>5.0813680660289533</v>
      </c>
      <c r="AL39" s="261"/>
      <c r="AM39" s="191">
        <v>5.55</v>
      </c>
      <c r="AN39" s="261"/>
      <c r="AO39" s="191">
        <v>5.24</v>
      </c>
      <c r="AP39" s="261"/>
      <c r="AQ39" s="191">
        <v>5.8425317206058622</v>
      </c>
      <c r="AR39" s="261"/>
      <c r="AS39" s="191">
        <v>80.760000000000005</v>
      </c>
      <c r="AT39" s="275"/>
      <c r="AU39" s="191">
        <v>75.728174603174608</v>
      </c>
      <c r="AV39" s="275"/>
      <c r="AW39" s="191">
        <v>67.884016393442593</v>
      </c>
      <c r="AX39" s="275"/>
      <c r="AY39" s="191">
        <v>71.86935483870964</v>
      </c>
      <c r="AZ39" s="275"/>
      <c r="BA39" s="191">
        <v>69.126692307692309</v>
      </c>
      <c r="BB39" s="275"/>
      <c r="BC39" s="191">
        <v>70.926111111111098</v>
      </c>
      <c r="BD39" s="275"/>
      <c r="BE39" s="191">
        <v>63.72664062500003</v>
      </c>
      <c r="BF39" s="275"/>
      <c r="BG39" s="191">
        <v>69.104901185770757</v>
      </c>
      <c r="BH39" s="275"/>
      <c r="BI39" s="191">
        <v>81.131349206349228</v>
      </c>
      <c r="BJ39" s="191">
        <v>103.84860655737707</v>
      </c>
      <c r="BK39" s="191">
        <v>92.306774193548463</v>
      </c>
    </row>
    <row r="40" spans="2:63" ht="15.5" thickTop="1" thickBot="1">
      <c r="B40" s="160" t="s">
        <v>910</v>
      </c>
      <c r="D40" s="160" t="s">
        <v>909</v>
      </c>
      <c r="F40" s="203">
        <v>26.8081</v>
      </c>
    </row>
    <row r="41" spans="2:63" ht="6" customHeight="1" thickTop="1">
      <c r="C41" s="165"/>
      <c r="E41" s="165"/>
      <c r="G41" s="165"/>
      <c r="H41" s="193"/>
      <c r="I41" s="193"/>
      <c r="J41" s="193"/>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3"/>
      <c r="AJ41" s="193"/>
      <c r="AK41" s="193"/>
      <c r="AL41" s="193"/>
      <c r="AM41" s="193"/>
      <c r="AN41" s="193"/>
      <c r="AO41" s="193"/>
      <c r="AP41" s="193"/>
      <c r="AQ41" s="193"/>
      <c r="AR41" s="193"/>
      <c r="AS41" s="193"/>
      <c r="AT41" s="193"/>
      <c r="AV41" s="193"/>
      <c r="AX41" s="193"/>
      <c r="AZ41" s="193"/>
      <c r="BB41" s="193"/>
      <c r="BD41" s="193"/>
      <c r="BF41" s="193"/>
      <c r="BH41" s="193"/>
    </row>
    <row r="42" spans="2:63">
      <c r="B42" s="126" t="s">
        <v>911</v>
      </c>
    </row>
  </sheetData>
  <pageMargins left="0.511811024" right="0.511811024" top="0.78740157499999996" bottom="0.78740157499999996" header="0.31496062000000002" footer="0.31496062000000002"/>
  <pageSetup paperSize="9" orientation="portrait" r:id="rId1"/>
  <ignoredErrors>
    <ignoredError sqref="AE6" numberStoredAsText="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57B12-3B5C-450B-A858-72CC0FFFA39D}">
  <dimension ref="B3:AF24"/>
  <sheetViews>
    <sheetView showGridLines="0" zoomScaleNormal="100" workbookViewId="0">
      <pane xSplit="4" ySplit="4" topLeftCell="AC5" activePane="bottomRight" state="frozen"/>
      <selection activeCell="B30" sqref="B30"/>
      <selection pane="topRight" activeCell="B30" sqref="B30"/>
      <selection pane="bottomLeft" activeCell="B30" sqref="B30"/>
      <selection pane="bottomRight" activeCell="AE8" sqref="AE8"/>
    </sheetView>
  </sheetViews>
  <sheetFormatPr defaultRowHeight="14.5"/>
  <cols>
    <col min="1" max="1" width="2.54296875" customWidth="1"/>
    <col min="2" max="2" width="51.54296875" customWidth="1"/>
    <col min="3" max="3" width="38.81640625" customWidth="1"/>
    <col min="4" max="5" width="2.54296875" customWidth="1"/>
    <col min="6" max="27" width="8.453125" customWidth="1"/>
  </cols>
  <sheetData>
    <row r="3" spans="2:32" ht="18.5">
      <c r="C3" s="43" t="s">
        <v>732</v>
      </c>
    </row>
    <row r="4" spans="2:32">
      <c r="D4" s="44"/>
    </row>
    <row r="5" spans="2:32">
      <c r="D5" s="44"/>
    </row>
    <row r="6" spans="2:32">
      <c r="B6" s="23" t="s">
        <v>1114</v>
      </c>
      <c r="C6" s="23" t="s">
        <v>1114</v>
      </c>
      <c r="D6" s="1"/>
      <c r="F6" s="22">
        <v>2018</v>
      </c>
      <c r="G6" s="22">
        <v>2019</v>
      </c>
      <c r="H6" s="22">
        <v>2020</v>
      </c>
      <c r="I6" s="22">
        <v>2021</v>
      </c>
      <c r="J6" s="22">
        <v>2022</v>
      </c>
      <c r="K6" s="22" t="s">
        <v>881</v>
      </c>
      <c r="L6" s="22" t="s">
        <v>882</v>
      </c>
      <c r="M6" s="22" t="s">
        <v>762</v>
      </c>
      <c r="N6" s="22" t="s">
        <v>763</v>
      </c>
      <c r="O6" s="22" t="s">
        <v>883</v>
      </c>
      <c r="P6" s="22" t="s">
        <v>884</v>
      </c>
      <c r="Q6" s="22" t="s">
        <v>947</v>
      </c>
      <c r="R6" s="22" t="s">
        <v>935</v>
      </c>
      <c r="S6" s="22" t="s">
        <v>991</v>
      </c>
      <c r="T6" s="22">
        <v>2023</v>
      </c>
      <c r="U6" s="22" t="s">
        <v>1004</v>
      </c>
      <c r="V6" s="22" t="s">
        <v>1005</v>
      </c>
      <c r="W6" s="22" t="s">
        <v>1274</v>
      </c>
      <c r="X6" s="22" t="s">
        <v>1006</v>
      </c>
      <c r="Y6" s="22" t="s">
        <v>1092</v>
      </c>
      <c r="Z6" s="22" t="s">
        <v>1007</v>
      </c>
      <c r="AA6" s="22">
        <v>2024</v>
      </c>
      <c r="AB6" s="22" t="s">
        <v>1008</v>
      </c>
      <c r="AC6" s="22" t="s">
        <v>1069</v>
      </c>
      <c r="AD6" s="22">
        <v>2025</v>
      </c>
      <c r="AE6" s="22" t="s">
        <v>1066</v>
      </c>
      <c r="AF6" s="22" t="s">
        <v>1242</v>
      </c>
    </row>
    <row r="7" spans="2:32" ht="15.75" customHeight="1" thickBot="1"/>
    <row r="8" spans="2:32" s="19" customFormat="1" ht="15.75" customHeight="1" thickBot="1">
      <c r="B8" s="251" t="s">
        <v>1113</v>
      </c>
      <c r="C8" s="251" t="s">
        <v>1115</v>
      </c>
      <c r="D8" s="251"/>
      <c r="E8" s="251"/>
      <c r="F8" s="252">
        <v>20.057792742439766</v>
      </c>
      <c r="G8" s="252">
        <v>21.111258934423976</v>
      </c>
      <c r="H8" s="252">
        <v>10.504080972589907</v>
      </c>
      <c r="I8" s="252">
        <v>12.86</v>
      </c>
      <c r="J8" s="252">
        <v>12.438034133746788</v>
      </c>
      <c r="K8" s="252">
        <v>12.25</v>
      </c>
      <c r="L8" s="252">
        <v>13.880585131516961</v>
      </c>
      <c r="M8" s="252">
        <v>11.55</v>
      </c>
      <c r="N8" s="252">
        <v>12.22</v>
      </c>
      <c r="O8" s="252">
        <v>12.92</v>
      </c>
      <c r="P8" s="252">
        <v>13.54</v>
      </c>
      <c r="Q8" s="252">
        <v>12.148316652041261</v>
      </c>
      <c r="R8" s="252">
        <v>12.68294905334041</v>
      </c>
      <c r="S8" s="252">
        <v>14.283155030371152</v>
      </c>
      <c r="T8" s="252">
        <v>13.07</v>
      </c>
      <c r="U8" s="252">
        <v>13.331691871455417</v>
      </c>
      <c r="V8" s="252">
        <v>12.624076713676295</v>
      </c>
      <c r="W8" s="252">
        <v>12.96890546790546</v>
      </c>
      <c r="X8" s="252">
        <v>13.77</v>
      </c>
      <c r="Y8" s="252">
        <v>13.252777259045738</v>
      </c>
      <c r="Z8" s="252">
        <v>14.519862103915454</v>
      </c>
      <c r="AA8" s="252">
        <v>13.598000116566208</v>
      </c>
      <c r="AB8" s="252">
        <v>13.931339284205407</v>
      </c>
      <c r="AC8" s="252">
        <v>14.320627731504038</v>
      </c>
      <c r="AD8" s="252">
        <v>14.417538934050583</v>
      </c>
      <c r="AE8" s="252">
        <v>15.819118144043864</v>
      </c>
      <c r="AF8" s="252">
        <v>16.803221479202502</v>
      </c>
    </row>
    <row r="9" spans="2:32" ht="6" customHeight="1">
      <c r="B9" s="10"/>
      <c r="C9" s="10"/>
    </row>
    <row r="10" spans="2:32">
      <c r="B10" s="10" t="s">
        <v>1117</v>
      </c>
      <c r="C10" s="10" t="s">
        <v>1116</v>
      </c>
      <c r="F10" s="237">
        <v>20.057792742439766</v>
      </c>
      <c r="G10" s="237">
        <v>21.719318504886527</v>
      </c>
      <c r="H10" s="237">
        <v>14.4</v>
      </c>
      <c r="I10" s="237">
        <v>20.18</v>
      </c>
      <c r="J10" s="237">
        <v>16.739999999999998</v>
      </c>
      <c r="K10" s="237">
        <v>16.54</v>
      </c>
      <c r="L10" s="237">
        <v>17.319984531903966</v>
      </c>
      <c r="M10" s="237">
        <v>16.462715543463947</v>
      </c>
      <c r="N10" s="237">
        <v>16.66</v>
      </c>
      <c r="O10" s="237">
        <v>17.25</v>
      </c>
      <c r="P10" s="237">
        <v>16.97</v>
      </c>
      <c r="Q10" s="237">
        <v>16.096643204155129</v>
      </c>
      <c r="R10" s="237">
        <v>16.406695122920894</v>
      </c>
      <c r="S10" s="237">
        <v>15.899267015973019</v>
      </c>
      <c r="T10" s="237">
        <v>16.2742593589413</v>
      </c>
      <c r="U10" s="237">
        <v>15.12</v>
      </c>
      <c r="V10" s="237">
        <v>15.292538027517281</v>
      </c>
      <c r="W10" s="237">
        <v>15.293633755349859</v>
      </c>
      <c r="X10" s="237">
        <v>16.087031870086165</v>
      </c>
      <c r="Y10" s="237">
        <v>15.616693403690102</v>
      </c>
      <c r="Z10" s="237">
        <v>14.519862103915454</v>
      </c>
      <c r="AA10" s="237">
        <v>16.47</v>
      </c>
      <c r="AB10" s="237">
        <v>15.553649020835852</v>
      </c>
      <c r="AC10" s="237">
        <v>17.57688802458873</v>
      </c>
      <c r="AD10" s="237">
        <v>17.626605683870245</v>
      </c>
      <c r="AE10" s="237">
        <v>19.805589819044584</v>
      </c>
      <c r="AF10" s="237">
        <v>21.685205213213209</v>
      </c>
    </row>
    <row r="11" spans="2:32">
      <c r="B11" s="14"/>
      <c r="C11" s="14"/>
    </row>
    <row r="12" spans="2:32">
      <c r="B12" s="3" t="s">
        <v>768</v>
      </c>
      <c r="C12" s="3" t="s">
        <v>886</v>
      </c>
      <c r="F12" s="237">
        <v>0</v>
      </c>
      <c r="G12" s="237">
        <v>15.296371643015465</v>
      </c>
      <c r="H12" s="237">
        <v>8.19</v>
      </c>
      <c r="I12" s="237">
        <v>9.41</v>
      </c>
      <c r="J12" s="237">
        <v>9.08</v>
      </c>
      <c r="K12" s="237">
        <v>9.07</v>
      </c>
      <c r="L12" s="237">
        <v>11.139251443877674</v>
      </c>
      <c r="M12" s="237">
        <v>7.4938822181094196</v>
      </c>
      <c r="N12" s="237">
        <v>8.86</v>
      </c>
      <c r="O12" s="237">
        <v>9.1199999999999992</v>
      </c>
      <c r="P12" s="237">
        <v>10.44</v>
      </c>
      <c r="Q12" s="237">
        <v>8.8820249628153007</v>
      </c>
      <c r="R12" s="237">
        <v>9.4533606831218311</v>
      </c>
      <c r="S12" s="237">
        <v>12.680106202566742</v>
      </c>
      <c r="T12" s="237">
        <v>10.206072556926083</v>
      </c>
      <c r="U12" s="237">
        <v>11.61</v>
      </c>
      <c r="V12" s="237">
        <v>10.282100213127244</v>
      </c>
      <c r="W12" s="237">
        <v>10.929201207096073</v>
      </c>
      <c r="X12" s="237">
        <v>11.500078585515997</v>
      </c>
      <c r="Y12" s="237">
        <v>11.115649116639792</v>
      </c>
      <c r="Z12" s="237">
        <v>18.827188980386911</v>
      </c>
      <c r="AA12" s="237">
        <v>10.94</v>
      </c>
      <c r="AB12" s="237">
        <v>12.242517704758368</v>
      </c>
      <c r="AC12" s="237">
        <v>11.010761489142761</v>
      </c>
      <c r="AD12" s="237">
        <v>11.132257528746868</v>
      </c>
      <c r="AE12" s="237">
        <v>11.939065920509691</v>
      </c>
      <c r="AF12" s="237">
        <v>12.051071536361118</v>
      </c>
    </row>
    <row r="14" spans="2:32">
      <c r="C14" s="213"/>
    </row>
    <row r="22" spans="2:3">
      <c r="B22" s="75"/>
      <c r="C22" s="75"/>
    </row>
    <row r="23" spans="2:3">
      <c r="B23" s="75"/>
      <c r="C23" s="75"/>
    </row>
    <row r="24" spans="2:3">
      <c r="B24" s="75"/>
      <c r="C24" s="75"/>
    </row>
  </sheetData>
  <pageMargins left="0.511811024" right="0.511811024" top="0.78740157499999996" bottom="0.78740157499999996" header="0.31496062000000002" footer="0.31496062000000002"/>
  <pageSetup paperSize="9" scale="80" orientation="portrait" r:id="rId1"/>
  <colBreaks count="1" manualBreakCount="1">
    <brk id="10"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C5A2B-611E-423C-9600-3B4488534790}">
  <dimension ref="B2:S163"/>
  <sheetViews>
    <sheetView showGridLines="0" topLeftCell="A153" workbookViewId="0">
      <selection activeCell="I163" sqref="I163"/>
    </sheetView>
  </sheetViews>
  <sheetFormatPr defaultRowHeight="14.5"/>
  <cols>
    <col min="1" max="1" width="2.54296875" customWidth="1"/>
    <col min="2" max="2" width="19.1796875" customWidth="1"/>
    <col min="3" max="3" width="2.54296875" customWidth="1"/>
    <col min="4" max="18" width="9.81640625" customWidth="1"/>
  </cols>
  <sheetData>
    <row r="2" spans="2:19" ht="18.5">
      <c r="F2" s="43" t="s">
        <v>647</v>
      </c>
    </row>
    <row r="3" spans="2:19">
      <c r="C3" s="44"/>
    </row>
    <row r="4" spans="2:19" ht="15" thickBot="1"/>
    <row r="5" spans="2:19" ht="12.75" customHeight="1">
      <c r="B5" s="412" t="s">
        <v>646</v>
      </c>
      <c r="D5" s="3" t="s">
        <v>100</v>
      </c>
      <c r="E5" s="3"/>
      <c r="F5" s="3"/>
      <c r="G5" s="3"/>
      <c r="H5" s="73"/>
      <c r="I5" s="3"/>
      <c r="J5" s="3"/>
      <c r="K5" s="3"/>
      <c r="L5" s="3"/>
      <c r="M5" s="3"/>
      <c r="N5" s="3"/>
      <c r="O5" s="3"/>
      <c r="P5" s="3"/>
      <c r="Q5" s="3"/>
      <c r="R5" s="3"/>
      <c r="S5" s="3"/>
    </row>
    <row r="6" spans="2:19" ht="12.75" customHeight="1">
      <c r="B6" s="413"/>
      <c r="D6" s="3" t="s">
        <v>648</v>
      </c>
      <c r="E6" s="3"/>
      <c r="F6" s="3"/>
      <c r="G6" s="3"/>
      <c r="H6" s="73"/>
      <c r="I6" s="3"/>
      <c r="J6" s="3"/>
      <c r="K6" s="3"/>
      <c r="L6" s="3"/>
      <c r="M6" s="3"/>
      <c r="N6" s="3"/>
      <c r="O6" s="3"/>
      <c r="P6" s="3"/>
      <c r="Q6" s="3"/>
      <c r="R6" s="3"/>
      <c r="S6" s="3"/>
    </row>
    <row r="7" spans="2:19" ht="18.75" customHeight="1" thickBot="1">
      <c r="B7" s="414"/>
      <c r="D7" s="75" t="s">
        <v>99</v>
      </c>
      <c r="E7" s="75"/>
      <c r="F7" s="66"/>
      <c r="G7" s="66"/>
      <c r="H7" s="66"/>
      <c r="I7" s="3"/>
      <c r="J7" s="3"/>
      <c r="K7" s="3"/>
      <c r="L7" s="3"/>
      <c r="M7" s="3"/>
      <c r="N7" s="3"/>
      <c r="O7" s="3"/>
      <c r="P7" s="3"/>
      <c r="Q7" s="3"/>
      <c r="R7" s="3"/>
      <c r="S7" s="3"/>
    </row>
    <row r="8" spans="2:19" ht="5.25" customHeight="1">
      <c r="D8" s="3"/>
      <c r="E8" s="69"/>
      <c r="F8" s="69"/>
      <c r="G8" s="69"/>
      <c r="H8" s="69"/>
      <c r="I8" s="3"/>
      <c r="J8" s="3"/>
      <c r="K8" s="3"/>
      <c r="L8" s="3"/>
      <c r="M8" s="3"/>
      <c r="N8" s="3"/>
      <c r="O8" s="3"/>
      <c r="P8" s="3"/>
      <c r="Q8" s="3"/>
      <c r="R8" s="3"/>
      <c r="S8" s="3"/>
    </row>
    <row r="9" spans="2:19" ht="12.75" customHeight="1">
      <c r="D9" s="3" t="s">
        <v>1209</v>
      </c>
      <c r="E9" s="69"/>
      <c r="F9" s="69"/>
      <c r="G9" s="69"/>
      <c r="H9" s="69"/>
      <c r="I9" s="3"/>
      <c r="J9" s="3"/>
      <c r="K9" s="3"/>
      <c r="L9" s="3"/>
      <c r="M9" s="3"/>
      <c r="N9" s="3"/>
      <c r="O9" s="3"/>
      <c r="P9" s="3"/>
      <c r="Q9" s="3"/>
      <c r="R9" s="3"/>
      <c r="S9" s="3"/>
    </row>
    <row r="10" spans="2:19" ht="12.75" customHeight="1">
      <c r="D10" s="3" t="s">
        <v>1210</v>
      </c>
      <c r="E10" s="69"/>
      <c r="F10" s="69"/>
      <c r="G10" s="69"/>
      <c r="H10" s="69"/>
      <c r="I10" s="3"/>
      <c r="J10" s="3"/>
      <c r="K10" s="3"/>
      <c r="L10" s="3"/>
      <c r="M10" s="3"/>
      <c r="N10" s="3"/>
      <c r="O10" s="3"/>
      <c r="P10" s="3"/>
      <c r="Q10" s="3"/>
      <c r="R10" s="3"/>
      <c r="S10" s="3"/>
    </row>
    <row r="11" spans="2:19" ht="5.25" customHeight="1">
      <c r="D11" s="3"/>
      <c r="E11" s="69"/>
      <c r="F11" s="69"/>
      <c r="G11" s="69"/>
      <c r="H11" s="69"/>
      <c r="I11" s="3"/>
      <c r="J11" s="3"/>
      <c r="K11" s="3"/>
      <c r="L11" s="3"/>
      <c r="M11" s="3"/>
      <c r="N11" s="3"/>
      <c r="O11" s="3"/>
      <c r="P11" s="3"/>
      <c r="Q11" s="3"/>
      <c r="R11" s="3"/>
      <c r="S11" s="3"/>
    </row>
    <row r="12" spans="2:19" s="3" customFormat="1" ht="13">
      <c r="D12" s="418" t="s">
        <v>1211</v>
      </c>
      <c r="E12" s="418"/>
      <c r="F12" s="418"/>
      <c r="G12" s="418"/>
      <c r="H12" s="418"/>
      <c r="I12" s="418"/>
      <c r="J12" s="65"/>
      <c r="K12" s="65"/>
      <c r="L12" s="65"/>
      <c r="M12" s="65"/>
      <c r="N12" s="65"/>
      <c r="O12" s="65"/>
      <c r="P12" s="65"/>
      <c r="Q12" s="65"/>
      <c r="R12" s="65"/>
      <c r="S12" s="65"/>
    </row>
    <row r="13" spans="2:19" ht="9" customHeight="1">
      <c r="D13" s="3"/>
      <c r="E13" s="69"/>
      <c r="F13" s="69"/>
      <c r="G13" s="69"/>
      <c r="H13" s="69"/>
      <c r="I13" s="3"/>
      <c r="J13" s="3"/>
      <c r="K13" s="3"/>
      <c r="L13" s="3"/>
      <c r="M13" s="3"/>
      <c r="N13" s="3"/>
      <c r="O13" s="3"/>
      <c r="P13" s="3"/>
      <c r="Q13" s="3"/>
      <c r="R13" s="3"/>
      <c r="S13" s="3"/>
    </row>
    <row r="14" spans="2:19" ht="16.5" customHeight="1">
      <c r="D14" s="415"/>
      <c r="E14" s="415"/>
      <c r="F14" s="416"/>
      <c r="G14" s="416"/>
      <c r="H14" s="416"/>
      <c r="I14" s="416"/>
      <c r="J14" s="417"/>
      <c r="K14" s="417"/>
      <c r="L14" s="417"/>
      <c r="M14" s="417"/>
      <c r="N14" s="417"/>
      <c r="O14" s="417"/>
      <c r="P14" s="417"/>
      <c r="Q14" s="417"/>
      <c r="R14" s="417"/>
      <c r="S14" s="286"/>
    </row>
    <row r="15" spans="2:19">
      <c r="D15" s="415"/>
      <c r="E15" s="415"/>
      <c r="F15" s="287"/>
      <c r="G15" s="287"/>
      <c r="H15" s="285"/>
      <c r="I15" s="287"/>
      <c r="J15" s="285"/>
      <c r="K15" s="287"/>
      <c r="L15" s="288"/>
      <c r="M15" s="287"/>
      <c r="N15" s="285"/>
      <c r="O15" s="285"/>
      <c r="P15" s="285"/>
      <c r="Q15" s="288"/>
      <c r="R15" s="288"/>
      <c r="S15" s="286"/>
    </row>
    <row r="16" spans="2:19">
      <c r="D16" s="418"/>
      <c r="E16" s="418"/>
      <c r="F16" s="418"/>
      <c r="G16" s="418"/>
      <c r="H16" s="418"/>
      <c r="I16" s="418"/>
      <c r="J16" s="418"/>
      <c r="K16" s="418"/>
      <c r="L16" s="418"/>
      <c r="M16" s="418"/>
      <c r="N16" s="418"/>
      <c r="O16" s="418"/>
      <c r="P16" s="418"/>
      <c r="Q16" s="418"/>
      <c r="R16" s="418"/>
      <c r="S16" s="286"/>
    </row>
    <row r="17" spans="4:19">
      <c r="D17" s="289"/>
      <c r="E17" s="289"/>
      <c r="F17" s="290"/>
      <c r="G17" s="290"/>
      <c r="H17" s="290"/>
      <c r="I17" s="290"/>
      <c r="J17" s="290"/>
      <c r="K17" s="290"/>
      <c r="L17" s="291"/>
      <c r="M17" s="291"/>
      <c r="N17" s="292"/>
      <c r="O17" s="292"/>
      <c r="P17" s="292"/>
      <c r="Q17" s="291"/>
      <c r="R17" s="291"/>
      <c r="S17" s="286"/>
    </row>
    <row r="18" spans="4:19">
      <c r="D18" s="289"/>
      <c r="E18" s="289"/>
      <c r="F18" s="290"/>
      <c r="G18" s="290"/>
      <c r="H18" s="290"/>
      <c r="I18" s="290"/>
      <c r="J18" s="290"/>
      <c r="K18" s="290"/>
      <c r="L18" s="291"/>
      <c r="M18" s="291"/>
      <c r="N18" s="291"/>
      <c r="O18" s="292"/>
      <c r="P18" s="292"/>
      <c r="Q18" s="292"/>
      <c r="R18" s="291"/>
      <c r="S18" s="286"/>
    </row>
    <row r="19" spans="4:19">
      <c r="D19" s="289"/>
      <c r="E19" s="289"/>
      <c r="F19" s="290"/>
      <c r="G19" s="290"/>
      <c r="H19" s="290"/>
      <c r="I19" s="290"/>
      <c r="J19" s="290"/>
      <c r="K19" s="290"/>
      <c r="L19" s="291"/>
      <c r="M19" s="291"/>
      <c r="N19" s="291"/>
      <c r="O19" s="292"/>
      <c r="P19" s="292"/>
      <c r="Q19" s="292"/>
      <c r="R19" s="291"/>
      <c r="S19" s="286"/>
    </row>
    <row r="20" spans="4:19">
      <c r="D20" s="289"/>
      <c r="E20" s="289"/>
      <c r="F20" s="290"/>
      <c r="G20" s="290"/>
      <c r="H20" s="290"/>
      <c r="I20" s="290"/>
      <c r="J20" s="290"/>
      <c r="K20" s="290"/>
      <c r="L20" s="291"/>
      <c r="M20" s="291"/>
      <c r="N20" s="291"/>
      <c r="O20" s="292"/>
      <c r="P20" s="292"/>
      <c r="Q20" s="291"/>
      <c r="R20" s="291"/>
      <c r="S20" s="286"/>
    </row>
    <row r="21" spans="4:19">
      <c r="D21" s="289"/>
      <c r="E21" s="289"/>
      <c r="F21" s="290"/>
      <c r="G21" s="290"/>
      <c r="H21" s="290"/>
      <c r="I21" s="290"/>
      <c r="J21" s="290"/>
      <c r="K21" s="290"/>
      <c r="L21" s="291"/>
      <c r="M21" s="291"/>
      <c r="N21" s="292"/>
      <c r="O21" s="292"/>
      <c r="P21" s="292"/>
      <c r="Q21" s="292"/>
      <c r="R21" s="291"/>
      <c r="S21" s="286"/>
    </row>
    <row r="22" spans="4:19">
      <c r="D22" s="289"/>
      <c r="E22" s="289"/>
      <c r="F22" s="290"/>
      <c r="G22" s="290"/>
      <c r="H22" s="290"/>
      <c r="I22" s="290"/>
      <c r="J22" s="290"/>
      <c r="K22" s="290"/>
      <c r="L22" s="291"/>
      <c r="M22" s="291"/>
      <c r="N22" s="292"/>
      <c r="O22" s="292"/>
      <c r="P22" s="292"/>
      <c r="Q22" s="291"/>
      <c r="R22" s="291"/>
      <c r="S22" s="286"/>
    </row>
    <row r="23" spans="4:19">
      <c r="D23" s="289"/>
      <c r="E23" s="289"/>
      <c r="F23" s="290"/>
      <c r="G23" s="290"/>
      <c r="H23" s="290"/>
      <c r="I23" s="290"/>
      <c r="J23" s="290"/>
      <c r="K23" s="290"/>
      <c r="L23" s="291"/>
      <c r="M23" s="291"/>
      <c r="N23" s="291"/>
      <c r="O23" s="292"/>
      <c r="P23" s="292"/>
      <c r="Q23" s="292"/>
      <c r="R23" s="291"/>
      <c r="S23" s="286"/>
    </row>
    <row r="24" spans="4:19">
      <c r="D24" s="289"/>
      <c r="E24" s="289"/>
      <c r="F24" s="290"/>
      <c r="G24" s="290"/>
      <c r="H24" s="290"/>
      <c r="I24" s="290"/>
      <c r="J24" s="290"/>
      <c r="K24" s="290"/>
      <c r="L24" s="291"/>
      <c r="M24" s="291"/>
      <c r="N24" s="292"/>
      <c r="O24" s="292"/>
      <c r="P24" s="292"/>
      <c r="Q24" s="292"/>
      <c r="R24" s="291"/>
      <c r="S24" s="286"/>
    </row>
    <row r="25" spans="4:19">
      <c r="D25" s="289"/>
      <c r="E25" s="289"/>
      <c r="F25" s="290"/>
      <c r="G25" s="290"/>
      <c r="H25" s="290"/>
      <c r="I25" s="290"/>
      <c r="J25" s="290"/>
      <c r="K25" s="290"/>
      <c r="L25" s="291"/>
      <c r="M25" s="291"/>
      <c r="N25" s="292"/>
      <c r="O25" s="292"/>
      <c r="P25" s="292"/>
      <c r="Q25" s="292"/>
      <c r="R25" s="291"/>
      <c r="S25" s="286"/>
    </row>
    <row r="26" spans="4:19">
      <c r="D26" s="289"/>
      <c r="E26" s="289"/>
      <c r="F26" s="290"/>
      <c r="G26" s="290"/>
      <c r="H26" s="290"/>
      <c r="I26" s="290"/>
      <c r="J26" s="290"/>
      <c r="K26" s="290"/>
      <c r="L26" s="291"/>
      <c r="M26" s="291"/>
      <c r="N26" s="292"/>
      <c r="O26" s="292"/>
      <c r="P26" s="292"/>
      <c r="Q26" s="292"/>
      <c r="R26" s="291"/>
      <c r="S26" s="286"/>
    </row>
    <row r="27" spans="4:19">
      <c r="D27" s="289"/>
      <c r="E27" s="289"/>
      <c r="F27" s="290"/>
      <c r="G27" s="290"/>
      <c r="H27" s="290"/>
      <c r="I27" s="290"/>
      <c r="J27" s="290"/>
      <c r="K27" s="290"/>
      <c r="L27" s="292"/>
      <c r="M27" s="291"/>
      <c r="N27" s="292"/>
      <c r="O27" s="292"/>
      <c r="P27" s="292"/>
      <c r="Q27" s="292"/>
      <c r="R27" s="292"/>
      <c r="S27" s="286"/>
    </row>
    <row r="28" spans="4:19">
      <c r="D28" s="289"/>
      <c r="E28" s="289"/>
      <c r="F28" s="149"/>
      <c r="G28" s="149"/>
      <c r="H28" s="149"/>
      <c r="I28" s="149"/>
      <c r="J28" s="290"/>
      <c r="K28" s="290"/>
      <c r="L28" s="292"/>
      <c r="M28" s="291"/>
      <c r="N28" s="292"/>
      <c r="O28" s="292"/>
      <c r="P28" s="292"/>
      <c r="Q28" s="292"/>
      <c r="R28" s="292"/>
      <c r="S28" s="286"/>
    </row>
    <row r="29" spans="4:19">
      <c r="D29" s="289"/>
      <c r="E29" s="289"/>
      <c r="F29" s="149"/>
      <c r="G29" s="149"/>
      <c r="H29" s="149"/>
      <c r="I29" s="149"/>
      <c r="J29" s="290"/>
      <c r="K29" s="290"/>
      <c r="L29" s="292"/>
      <c r="M29" s="291"/>
      <c r="N29" s="292"/>
      <c r="O29" s="292"/>
      <c r="P29" s="292"/>
      <c r="Q29" s="292"/>
      <c r="R29" s="292"/>
      <c r="S29" s="286"/>
    </row>
    <row r="30" spans="4:19">
      <c r="D30" s="289"/>
      <c r="E30" s="289"/>
      <c r="F30" s="149"/>
      <c r="G30" s="149"/>
      <c r="H30" s="149"/>
      <c r="I30" s="149"/>
      <c r="J30" s="290"/>
      <c r="K30" s="290"/>
      <c r="L30" s="292"/>
      <c r="M30" s="291"/>
      <c r="N30" s="292"/>
      <c r="O30" s="292"/>
      <c r="P30" s="292"/>
      <c r="Q30" s="292"/>
      <c r="R30" s="292"/>
      <c r="S30" s="286"/>
    </row>
    <row r="31" spans="4:19">
      <c r="D31" s="289"/>
      <c r="E31" s="289"/>
      <c r="F31" s="149"/>
      <c r="G31" s="149"/>
      <c r="H31" s="149"/>
      <c r="I31" s="149"/>
      <c r="J31" s="290"/>
      <c r="K31" s="290"/>
      <c r="L31" s="292"/>
      <c r="M31" s="291"/>
      <c r="N31" s="292"/>
      <c r="O31" s="292"/>
      <c r="P31" s="292"/>
      <c r="Q31" s="292"/>
      <c r="R31" s="292"/>
      <c r="S31" s="286"/>
    </row>
    <row r="32" spans="4:19">
      <c r="D32" s="289"/>
      <c r="E32" s="289"/>
      <c r="F32" s="290"/>
      <c r="G32" s="290"/>
      <c r="H32" s="290"/>
      <c r="I32" s="290"/>
      <c r="J32" s="290"/>
      <c r="K32" s="290"/>
      <c r="L32" s="291"/>
      <c r="M32" s="291"/>
      <c r="N32" s="292"/>
      <c r="O32" s="292"/>
      <c r="P32" s="292"/>
      <c r="Q32" s="292"/>
      <c r="R32" s="291"/>
      <c r="S32" s="286"/>
    </row>
    <row r="33" spans="4:19">
      <c r="D33" s="289"/>
      <c r="E33" s="289"/>
      <c r="F33" s="149"/>
      <c r="G33" s="149"/>
      <c r="H33" s="149"/>
      <c r="I33" s="149"/>
      <c r="J33" s="290"/>
      <c r="K33" s="290"/>
      <c r="L33" s="292"/>
      <c r="M33" s="291"/>
      <c r="N33" s="292"/>
      <c r="O33" s="292"/>
      <c r="P33" s="292"/>
      <c r="Q33" s="292"/>
      <c r="R33" s="292"/>
      <c r="S33" s="286"/>
    </row>
    <row r="34" spans="4:19">
      <c r="D34" s="289"/>
      <c r="E34" s="289"/>
      <c r="F34" s="149"/>
      <c r="G34" s="149"/>
      <c r="H34" s="149"/>
      <c r="I34" s="149"/>
      <c r="J34" s="290"/>
      <c r="K34" s="290"/>
      <c r="L34" s="292"/>
      <c r="M34" s="291"/>
      <c r="N34" s="292"/>
      <c r="O34" s="292"/>
      <c r="P34" s="292"/>
      <c r="Q34" s="292"/>
      <c r="R34" s="292"/>
      <c r="S34" s="286"/>
    </row>
    <row r="35" spans="4:19">
      <c r="D35" s="289"/>
      <c r="E35" s="289"/>
      <c r="F35" s="149"/>
      <c r="G35" s="149"/>
      <c r="H35" s="149"/>
      <c r="I35" s="149"/>
      <c r="J35" s="290"/>
      <c r="K35" s="290"/>
      <c r="L35" s="292"/>
      <c r="M35" s="291"/>
      <c r="N35" s="292"/>
      <c r="O35" s="292"/>
      <c r="P35" s="292"/>
      <c r="Q35" s="292"/>
      <c r="R35" s="292"/>
      <c r="S35" s="286"/>
    </row>
    <row r="36" spans="4:19">
      <c r="D36" s="289"/>
      <c r="E36" s="289"/>
      <c r="F36" s="149"/>
      <c r="G36" s="149"/>
      <c r="H36" s="149"/>
      <c r="I36" s="149"/>
      <c r="J36" s="290"/>
      <c r="K36" s="290"/>
      <c r="L36" s="292"/>
      <c r="M36" s="291"/>
      <c r="N36" s="292"/>
      <c r="O36" s="292"/>
      <c r="P36" s="292"/>
      <c r="Q36" s="292"/>
      <c r="R36" s="292"/>
      <c r="S36" s="286"/>
    </row>
    <row r="37" spans="4:19">
      <c r="D37" s="289"/>
      <c r="E37" s="289"/>
      <c r="F37" s="149"/>
      <c r="G37" s="149"/>
      <c r="H37" s="149"/>
      <c r="I37" s="149"/>
      <c r="J37" s="290"/>
      <c r="K37" s="290"/>
      <c r="L37" s="292"/>
      <c r="M37" s="291"/>
      <c r="N37" s="292"/>
      <c r="O37" s="292"/>
      <c r="P37" s="292"/>
      <c r="Q37" s="292"/>
      <c r="R37" s="292"/>
      <c r="S37" s="286"/>
    </row>
    <row r="38" spans="4:19">
      <c r="D38" s="289"/>
      <c r="E38" s="289"/>
      <c r="F38" s="290"/>
      <c r="G38" s="290"/>
      <c r="H38" s="290"/>
      <c r="I38" s="290"/>
      <c r="J38" s="290"/>
      <c r="K38" s="290"/>
      <c r="L38" s="291"/>
      <c r="M38" s="291"/>
      <c r="N38" s="292"/>
      <c r="O38" s="292"/>
      <c r="P38" s="292"/>
      <c r="Q38" s="292"/>
      <c r="R38" s="291"/>
      <c r="S38" s="286"/>
    </row>
    <row r="39" spans="4:19">
      <c r="D39" s="289"/>
      <c r="E39" s="289"/>
      <c r="F39" s="149"/>
      <c r="G39" s="149"/>
      <c r="H39" s="149"/>
      <c r="I39" s="149"/>
      <c r="J39" s="290"/>
      <c r="K39" s="290"/>
      <c r="L39" s="292"/>
      <c r="M39" s="291"/>
      <c r="N39" s="292"/>
      <c r="O39" s="292"/>
      <c r="P39" s="292"/>
      <c r="Q39" s="292"/>
      <c r="R39" s="292"/>
      <c r="S39" s="286"/>
    </row>
    <row r="40" spans="4:19">
      <c r="D40" s="289"/>
      <c r="E40" s="289"/>
      <c r="F40" s="149"/>
      <c r="G40" s="149"/>
      <c r="H40" s="149"/>
      <c r="I40" s="149"/>
      <c r="J40" s="290"/>
      <c r="K40" s="290"/>
      <c r="L40" s="292"/>
      <c r="M40" s="291"/>
      <c r="N40" s="292"/>
      <c r="O40" s="292"/>
      <c r="P40" s="292"/>
      <c r="Q40" s="292"/>
      <c r="R40" s="292"/>
      <c r="S40" s="286"/>
    </row>
    <row r="41" spans="4:19">
      <c r="D41" s="289"/>
      <c r="E41" s="289"/>
      <c r="F41" s="149"/>
      <c r="G41" s="149"/>
      <c r="H41" s="149"/>
      <c r="I41" s="149"/>
      <c r="J41" s="290"/>
      <c r="K41" s="290"/>
      <c r="L41" s="292"/>
      <c r="M41" s="291"/>
      <c r="N41" s="292"/>
      <c r="O41" s="292"/>
      <c r="P41" s="292"/>
      <c r="Q41" s="292"/>
      <c r="R41" s="292"/>
      <c r="S41" s="286"/>
    </row>
    <row r="42" spans="4:19">
      <c r="D42" s="289"/>
      <c r="E42" s="289"/>
      <c r="F42" s="149"/>
      <c r="G42" s="149"/>
      <c r="H42" s="149"/>
      <c r="I42" s="149"/>
      <c r="J42" s="290"/>
      <c r="K42" s="290"/>
      <c r="L42" s="292"/>
      <c r="M42" s="292"/>
      <c r="N42" s="292"/>
      <c r="O42" s="292"/>
      <c r="P42" s="292"/>
      <c r="Q42" s="292"/>
      <c r="R42" s="292"/>
      <c r="S42" s="286"/>
    </row>
    <row r="43" spans="4:19">
      <c r="D43" s="289"/>
      <c r="E43" s="289"/>
      <c r="F43" s="149"/>
      <c r="G43" s="149"/>
      <c r="H43" s="149"/>
      <c r="I43" s="149"/>
      <c r="J43" s="290"/>
      <c r="K43" s="290"/>
      <c r="L43" s="292"/>
      <c r="M43" s="292"/>
      <c r="N43" s="292"/>
      <c r="O43" s="292"/>
      <c r="P43" s="292"/>
      <c r="Q43" s="292"/>
      <c r="R43" s="292"/>
      <c r="S43" s="286"/>
    </row>
    <row r="44" spans="4:19">
      <c r="D44" s="289"/>
      <c r="E44" s="289"/>
      <c r="F44" s="290"/>
      <c r="G44" s="290"/>
      <c r="H44" s="290"/>
      <c r="I44" s="290"/>
      <c r="J44" s="290"/>
      <c r="K44" s="290"/>
      <c r="L44" s="292"/>
      <c r="M44" s="291"/>
      <c r="N44" s="292"/>
      <c r="O44" s="292"/>
      <c r="P44" s="292"/>
      <c r="Q44" s="292"/>
      <c r="R44" s="292"/>
      <c r="S44" s="286"/>
    </row>
    <row r="45" spans="4:19">
      <c r="D45" s="289"/>
      <c r="E45" s="289"/>
      <c r="F45" s="149"/>
      <c r="G45" s="149"/>
      <c r="H45" s="149"/>
      <c r="I45" s="149"/>
      <c r="J45" s="290"/>
      <c r="K45" s="290"/>
      <c r="L45" s="292"/>
      <c r="M45" s="292"/>
      <c r="N45" s="292"/>
      <c r="O45" s="292"/>
      <c r="P45" s="292"/>
      <c r="Q45" s="292"/>
      <c r="R45" s="292"/>
      <c r="S45" s="286"/>
    </row>
    <row r="46" spans="4:19">
      <c r="D46" s="289"/>
      <c r="E46" s="289"/>
      <c r="F46" s="149"/>
      <c r="G46" s="149"/>
      <c r="H46" s="149"/>
      <c r="I46" s="149"/>
      <c r="J46" s="290"/>
      <c r="K46" s="290"/>
      <c r="L46" s="292"/>
      <c r="M46" s="292"/>
      <c r="N46" s="292"/>
      <c r="O46" s="292"/>
      <c r="P46" s="292"/>
      <c r="Q46" s="292"/>
      <c r="R46" s="292"/>
      <c r="S46" s="286"/>
    </row>
    <row r="47" spans="4:19">
      <c r="D47" s="289"/>
      <c r="E47" s="289"/>
      <c r="F47" s="149"/>
      <c r="G47" s="149"/>
      <c r="H47" s="149"/>
      <c r="I47" s="149"/>
      <c r="J47" s="290"/>
      <c r="K47" s="290"/>
      <c r="L47" s="292"/>
      <c r="M47" s="291"/>
      <c r="N47" s="292"/>
      <c r="O47" s="292"/>
      <c r="P47" s="292"/>
      <c r="Q47" s="292"/>
      <c r="R47" s="292"/>
      <c r="S47" s="286"/>
    </row>
    <row r="48" spans="4:19">
      <c r="D48" s="289"/>
      <c r="E48" s="289"/>
      <c r="F48" s="149"/>
      <c r="G48" s="149"/>
      <c r="H48" s="149"/>
      <c r="I48" s="149"/>
      <c r="J48" s="290"/>
      <c r="K48" s="290"/>
      <c r="L48" s="292"/>
      <c r="M48" s="292"/>
      <c r="N48" s="292"/>
      <c r="O48" s="292"/>
      <c r="P48" s="292"/>
      <c r="Q48" s="292"/>
      <c r="R48" s="292"/>
      <c r="S48" s="286"/>
    </row>
    <row r="49" spans="4:19">
      <c r="D49" s="289"/>
      <c r="E49" s="289"/>
      <c r="F49" s="149"/>
      <c r="G49" s="149"/>
      <c r="H49" s="149"/>
      <c r="I49" s="149"/>
      <c r="J49" s="290"/>
      <c r="K49" s="290"/>
      <c r="L49" s="292"/>
      <c r="M49" s="292"/>
      <c r="N49" s="292"/>
      <c r="O49" s="292"/>
      <c r="P49" s="292"/>
      <c r="Q49" s="292"/>
      <c r="R49" s="292"/>
      <c r="S49" s="286"/>
    </row>
    <row r="50" spans="4:19">
      <c r="D50" s="289"/>
      <c r="E50" s="289"/>
      <c r="F50" s="290"/>
      <c r="G50" s="290"/>
      <c r="H50" s="290"/>
      <c r="I50" s="290"/>
      <c r="J50" s="290"/>
      <c r="K50" s="290"/>
      <c r="L50" s="291"/>
      <c r="M50" s="291"/>
      <c r="N50" s="292"/>
      <c r="O50" s="292"/>
      <c r="P50" s="292"/>
      <c r="Q50" s="292"/>
      <c r="R50" s="291"/>
      <c r="S50" s="286"/>
    </row>
    <row r="51" spans="4:19">
      <c r="D51" s="289"/>
      <c r="E51" s="289"/>
      <c r="F51" s="149"/>
      <c r="G51" s="149"/>
      <c r="H51" s="149"/>
      <c r="I51" s="149"/>
      <c r="J51" s="290"/>
      <c r="K51" s="290"/>
      <c r="L51" s="292"/>
      <c r="M51" s="292"/>
      <c r="N51" s="292"/>
      <c r="O51" s="292"/>
      <c r="P51" s="292"/>
      <c r="Q51" s="292"/>
      <c r="R51" s="292"/>
      <c r="S51" s="286"/>
    </row>
    <row r="52" spans="4:19">
      <c r="D52" s="289"/>
      <c r="E52" s="289"/>
      <c r="F52" s="149"/>
      <c r="G52" s="149"/>
      <c r="H52" s="149"/>
      <c r="I52" s="149"/>
      <c r="J52" s="290"/>
      <c r="K52" s="290"/>
      <c r="L52" s="292"/>
      <c r="M52" s="292"/>
      <c r="N52" s="292"/>
      <c r="O52" s="292"/>
      <c r="P52" s="292"/>
      <c r="Q52" s="292"/>
      <c r="R52" s="292"/>
      <c r="S52" s="286"/>
    </row>
    <row r="53" spans="4:19">
      <c r="D53" s="289"/>
      <c r="E53" s="289"/>
      <c r="F53" s="149"/>
      <c r="G53" s="149"/>
      <c r="H53" s="149"/>
      <c r="I53" s="149"/>
      <c r="J53" s="290"/>
      <c r="K53" s="290"/>
      <c r="L53" s="292"/>
      <c r="M53" s="292"/>
      <c r="N53" s="292"/>
      <c r="O53" s="292"/>
      <c r="P53" s="292"/>
      <c r="Q53" s="292"/>
      <c r="R53" s="292"/>
      <c r="S53" s="286"/>
    </row>
    <row r="54" spans="4:19">
      <c r="D54" s="289"/>
      <c r="E54" s="289"/>
      <c r="F54" s="149"/>
      <c r="G54" s="149"/>
      <c r="H54" s="149"/>
      <c r="I54" s="149"/>
      <c r="J54" s="290"/>
      <c r="K54" s="290"/>
      <c r="L54" s="292"/>
      <c r="M54" s="292"/>
      <c r="N54" s="292"/>
      <c r="O54" s="292"/>
      <c r="P54" s="292"/>
      <c r="Q54" s="292"/>
      <c r="R54" s="292"/>
      <c r="S54" s="286"/>
    </row>
    <row r="55" spans="4:19">
      <c r="D55" s="289"/>
      <c r="E55" s="289"/>
      <c r="F55" s="149"/>
      <c r="G55" s="149"/>
      <c r="H55" s="149"/>
      <c r="I55" s="149"/>
      <c r="J55" s="290"/>
      <c r="K55" s="290"/>
      <c r="L55" s="292"/>
      <c r="M55" s="292"/>
      <c r="N55" s="292"/>
      <c r="O55" s="292"/>
      <c r="P55" s="292"/>
      <c r="Q55" s="292"/>
      <c r="R55" s="292"/>
      <c r="S55" s="286"/>
    </row>
    <row r="56" spans="4:19" hidden="1">
      <c r="D56" s="289"/>
      <c r="E56" s="289"/>
      <c r="F56" s="290"/>
      <c r="G56" s="290"/>
      <c r="H56" s="290"/>
      <c r="I56" s="290"/>
      <c r="J56" s="290"/>
      <c r="K56" s="290"/>
      <c r="L56" s="292"/>
      <c r="M56" s="291"/>
      <c r="N56" s="292"/>
      <c r="O56" s="292"/>
      <c r="P56" s="292"/>
      <c r="Q56" s="292"/>
      <c r="R56" s="292"/>
      <c r="S56" s="286"/>
    </row>
    <row r="57" spans="4:19" hidden="1">
      <c r="D57" s="289"/>
      <c r="E57" s="289"/>
      <c r="F57" s="149"/>
      <c r="G57" s="149"/>
      <c r="H57" s="149"/>
      <c r="I57" s="149"/>
      <c r="J57" s="290"/>
      <c r="K57" s="290"/>
      <c r="L57" s="292"/>
      <c r="M57" s="292"/>
      <c r="N57" s="292"/>
      <c r="O57" s="292"/>
      <c r="P57" s="292"/>
      <c r="Q57" s="292"/>
      <c r="R57" s="292"/>
      <c r="S57" s="286"/>
    </row>
    <row r="58" spans="4:19" hidden="1">
      <c r="D58" s="289"/>
      <c r="E58" s="289"/>
      <c r="F58" s="149"/>
      <c r="G58" s="149"/>
      <c r="H58" s="149"/>
      <c r="I58" s="149"/>
      <c r="J58" s="290"/>
      <c r="K58" s="290"/>
      <c r="L58" s="292"/>
      <c r="M58" s="292"/>
      <c r="N58" s="292"/>
      <c r="O58" s="292"/>
      <c r="P58" s="292"/>
      <c r="Q58" s="292"/>
      <c r="R58" s="292"/>
      <c r="S58" s="286"/>
    </row>
    <row r="59" spans="4:19" hidden="1">
      <c r="D59" s="289"/>
      <c r="E59" s="289"/>
      <c r="F59" s="149"/>
      <c r="G59" s="149"/>
      <c r="H59" s="149"/>
      <c r="I59" s="149"/>
      <c r="J59" s="290"/>
      <c r="K59" s="290"/>
      <c r="L59" s="292"/>
      <c r="M59" s="292"/>
      <c r="N59" s="292"/>
      <c r="O59" s="292"/>
      <c r="P59" s="292"/>
      <c r="Q59" s="292"/>
      <c r="R59" s="292"/>
      <c r="S59" s="286"/>
    </row>
    <row r="60" spans="4:19" hidden="1">
      <c r="D60" s="289"/>
      <c r="E60" s="289"/>
      <c r="F60" s="149"/>
      <c r="G60" s="149"/>
      <c r="H60" s="149"/>
      <c r="I60" s="149"/>
      <c r="J60" s="290"/>
      <c r="K60" s="290"/>
      <c r="L60" s="292"/>
      <c r="M60" s="292"/>
      <c r="N60" s="292"/>
      <c r="O60" s="292"/>
      <c r="P60" s="292"/>
      <c r="Q60" s="292"/>
      <c r="R60" s="292"/>
      <c r="S60" s="286"/>
    </row>
    <row r="61" spans="4:19" hidden="1">
      <c r="D61" s="289"/>
      <c r="E61" s="289"/>
      <c r="F61" s="149"/>
      <c r="G61" s="149"/>
      <c r="H61" s="149"/>
      <c r="I61" s="149"/>
      <c r="J61" s="290"/>
      <c r="K61" s="290"/>
      <c r="L61" s="292"/>
      <c r="M61" s="292"/>
      <c r="N61" s="292"/>
      <c r="O61" s="292"/>
      <c r="P61" s="292"/>
      <c r="Q61" s="292"/>
      <c r="R61" s="292"/>
      <c r="S61" s="286"/>
    </row>
    <row r="62" spans="4:19" hidden="1">
      <c r="D62" s="289"/>
      <c r="E62" s="289"/>
      <c r="F62" s="290"/>
      <c r="G62" s="290"/>
      <c r="H62" s="290"/>
      <c r="I62" s="290"/>
      <c r="J62" s="290"/>
      <c r="K62" s="290"/>
      <c r="L62" s="292"/>
      <c r="M62" s="291"/>
      <c r="N62" s="292"/>
      <c r="O62" s="292"/>
      <c r="P62" s="292"/>
      <c r="Q62" s="292"/>
      <c r="R62" s="292"/>
      <c r="S62" s="286"/>
    </row>
    <row r="63" spans="4:19" hidden="1">
      <c r="D63" s="289"/>
      <c r="E63" s="289"/>
      <c r="F63" s="149"/>
      <c r="G63" s="149"/>
      <c r="H63" s="149"/>
      <c r="I63" s="149"/>
      <c r="J63" s="290"/>
      <c r="K63" s="290"/>
      <c r="L63" s="292"/>
      <c r="M63" s="292"/>
      <c r="N63" s="292"/>
      <c r="O63" s="292"/>
      <c r="P63" s="292"/>
      <c r="Q63" s="292"/>
      <c r="R63" s="292"/>
      <c r="S63" s="286"/>
    </row>
    <row r="64" spans="4:19" hidden="1">
      <c r="D64" s="289"/>
      <c r="E64" s="289"/>
      <c r="F64" s="149"/>
      <c r="G64" s="149"/>
      <c r="H64" s="149"/>
      <c r="I64" s="149"/>
      <c r="J64" s="290"/>
      <c r="K64" s="290"/>
      <c r="L64" s="292"/>
      <c r="M64" s="292"/>
      <c r="N64" s="292"/>
      <c r="O64" s="292"/>
      <c r="P64" s="292"/>
      <c r="Q64" s="292"/>
      <c r="R64" s="292"/>
      <c r="S64" s="286"/>
    </row>
    <row r="65" spans="4:19" hidden="1">
      <c r="D65" s="289"/>
      <c r="E65" s="289"/>
      <c r="F65" s="149"/>
      <c r="G65" s="149"/>
      <c r="H65" s="149"/>
      <c r="I65" s="149"/>
      <c r="J65" s="290"/>
      <c r="K65" s="290"/>
      <c r="L65" s="292"/>
      <c r="M65" s="292"/>
      <c r="N65" s="292"/>
      <c r="O65" s="292"/>
      <c r="P65" s="292"/>
      <c r="Q65" s="292"/>
      <c r="R65" s="292"/>
      <c r="S65" s="286"/>
    </row>
    <row r="66" spans="4:19" hidden="1">
      <c r="D66" s="289"/>
      <c r="E66" s="289"/>
      <c r="F66" s="149"/>
      <c r="G66" s="149"/>
      <c r="H66" s="149"/>
      <c r="I66" s="149"/>
      <c r="J66" s="290"/>
      <c r="K66" s="290"/>
      <c r="L66" s="292"/>
      <c r="M66" s="292"/>
      <c r="N66" s="292"/>
      <c r="O66" s="292"/>
      <c r="P66" s="292"/>
      <c r="Q66" s="292"/>
      <c r="R66" s="292"/>
      <c r="S66" s="286"/>
    </row>
    <row r="67" spans="4:19" hidden="1">
      <c r="D67" s="289"/>
      <c r="E67" s="289"/>
      <c r="F67" s="149"/>
      <c r="G67" s="149"/>
      <c r="H67" s="149"/>
      <c r="I67" s="149"/>
      <c r="J67" s="290"/>
      <c r="K67" s="290"/>
      <c r="L67" s="292"/>
      <c r="M67" s="292"/>
      <c r="N67" s="292"/>
      <c r="O67" s="292"/>
      <c r="P67" s="292"/>
      <c r="Q67" s="292"/>
      <c r="R67" s="292"/>
      <c r="S67" s="286"/>
    </row>
    <row r="68" spans="4:19" hidden="1">
      <c r="D68" s="289"/>
      <c r="E68" s="289"/>
      <c r="F68" s="149"/>
      <c r="G68" s="149"/>
      <c r="H68" s="149"/>
      <c r="I68" s="149"/>
      <c r="J68" s="290"/>
      <c r="K68" s="290"/>
      <c r="L68" s="292"/>
      <c r="M68" s="292"/>
      <c r="N68" s="292"/>
      <c r="O68" s="292"/>
      <c r="P68" s="292"/>
      <c r="Q68" s="292"/>
      <c r="R68" s="292"/>
      <c r="S68" s="286"/>
    </row>
    <row r="69" spans="4:19" hidden="1">
      <c r="D69" s="289"/>
      <c r="E69" s="289"/>
      <c r="F69" s="149"/>
      <c r="G69" s="149"/>
      <c r="H69" s="149"/>
      <c r="I69" s="149"/>
      <c r="J69" s="290"/>
      <c r="K69" s="290"/>
      <c r="L69" s="292"/>
      <c r="M69" s="292"/>
      <c r="N69" s="292"/>
      <c r="O69" s="292"/>
      <c r="P69" s="292"/>
      <c r="Q69" s="292"/>
      <c r="R69" s="292"/>
      <c r="S69" s="286"/>
    </row>
    <row r="70" spans="4:19" hidden="1">
      <c r="D70" s="289"/>
      <c r="E70" s="289"/>
      <c r="F70" s="149"/>
      <c r="G70" s="149"/>
      <c r="H70" s="149"/>
      <c r="I70" s="149"/>
      <c r="J70" s="290"/>
      <c r="K70" s="290"/>
      <c r="L70" s="292"/>
      <c r="M70" s="292"/>
      <c r="N70" s="292"/>
      <c r="O70" s="292"/>
      <c r="P70" s="292"/>
      <c r="Q70" s="292"/>
      <c r="R70" s="292"/>
      <c r="S70" s="286"/>
    </row>
    <row r="71" spans="4:19" hidden="1">
      <c r="D71" s="289"/>
      <c r="E71" s="289"/>
      <c r="F71" s="149"/>
      <c r="G71" s="149"/>
      <c r="H71" s="149"/>
      <c r="I71" s="149"/>
      <c r="J71" s="290"/>
      <c r="K71" s="290"/>
      <c r="L71" s="292"/>
      <c r="M71" s="292"/>
      <c r="N71" s="292"/>
      <c r="O71" s="292"/>
      <c r="P71" s="292"/>
      <c r="Q71" s="292"/>
      <c r="R71" s="292"/>
      <c r="S71" s="286"/>
    </row>
    <row r="72" spans="4:19" hidden="1">
      <c r="D72" s="289"/>
      <c r="E72" s="289"/>
      <c r="F72" s="149"/>
      <c r="G72" s="149"/>
      <c r="H72" s="149"/>
      <c r="I72" s="149"/>
      <c r="J72" s="290"/>
      <c r="K72" s="290"/>
      <c r="L72" s="292"/>
      <c r="M72" s="292"/>
      <c r="N72" s="292"/>
      <c r="O72" s="292"/>
      <c r="P72" s="292"/>
      <c r="Q72" s="292"/>
      <c r="R72" s="292"/>
      <c r="S72" s="286"/>
    </row>
    <row r="73" spans="4:19" hidden="1">
      <c r="D73" s="289"/>
      <c r="E73" s="289"/>
      <c r="F73" s="149"/>
      <c r="G73" s="149"/>
      <c r="H73" s="149"/>
      <c r="I73" s="149"/>
      <c r="J73" s="290"/>
      <c r="K73" s="290"/>
      <c r="L73" s="292"/>
      <c r="M73" s="292"/>
      <c r="N73" s="292"/>
      <c r="O73" s="292"/>
      <c r="P73" s="292"/>
      <c r="Q73" s="292"/>
      <c r="R73" s="292"/>
      <c r="S73" s="286"/>
    </row>
    <row r="74" spans="4:19" hidden="1">
      <c r="D74" s="289"/>
      <c r="E74" s="289"/>
      <c r="F74" s="290"/>
      <c r="G74" s="290"/>
      <c r="H74" s="290"/>
      <c r="I74" s="290"/>
      <c r="J74" s="290"/>
      <c r="K74" s="290"/>
      <c r="L74" s="292"/>
      <c r="M74" s="291"/>
      <c r="N74" s="292"/>
      <c r="O74" s="292"/>
      <c r="P74" s="292"/>
      <c r="Q74" s="292"/>
      <c r="R74" s="292"/>
      <c r="S74" s="286"/>
    </row>
    <row r="75" spans="4:19" hidden="1">
      <c r="D75" s="289"/>
      <c r="E75" s="289"/>
      <c r="F75" s="149"/>
      <c r="G75" s="149"/>
      <c r="H75" s="149"/>
      <c r="I75" s="149"/>
      <c r="J75" s="290"/>
      <c r="K75" s="290"/>
      <c r="L75" s="292"/>
      <c r="M75" s="292"/>
      <c r="N75" s="292"/>
      <c r="O75" s="292"/>
      <c r="P75" s="292"/>
      <c r="Q75" s="292"/>
      <c r="R75" s="292"/>
      <c r="S75" s="286"/>
    </row>
    <row r="76" spans="4:19" hidden="1">
      <c r="D76" s="289"/>
      <c r="E76" s="289"/>
      <c r="F76" s="149"/>
      <c r="G76" s="149"/>
      <c r="H76" s="149"/>
      <c r="I76" s="149"/>
      <c r="J76" s="290"/>
      <c r="K76" s="290"/>
      <c r="L76" s="292"/>
      <c r="M76" s="292"/>
      <c r="N76" s="292"/>
      <c r="O76" s="292"/>
      <c r="P76" s="292"/>
      <c r="Q76" s="292"/>
      <c r="R76" s="292"/>
      <c r="S76" s="286"/>
    </row>
    <row r="77" spans="4:19" hidden="1">
      <c r="D77" s="289"/>
      <c r="E77" s="289"/>
      <c r="F77" s="149"/>
      <c r="G77" s="149"/>
      <c r="H77" s="149"/>
      <c r="I77" s="149"/>
      <c r="J77" s="290"/>
      <c r="K77" s="290"/>
      <c r="L77" s="292"/>
      <c r="M77" s="292"/>
      <c r="N77" s="292"/>
      <c r="O77" s="292"/>
      <c r="P77" s="292"/>
      <c r="Q77" s="292"/>
      <c r="R77" s="292"/>
      <c r="S77" s="286"/>
    </row>
    <row r="78" spans="4:19" hidden="1">
      <c r="D78" s="289"/>
      <c r="E78" s="289"/>
      <c r="F78" s="149"/>
      <c r="G78" s="149"/>
      <c r="H78" s="149"/>
      <c r="I78" s="149"/>
      <c r="J78" s="290"/>
      <c r="K78" s="290"/>
      <c r="L78" s="292"/>
      <c r="M78" s="292"/>
      <c r="N78" s="292"/>
      <c r="O78" s="292"/>
      <c r="P78" s="292"/>
      <c r="Q78" s="292"/>
      <c r="R78" s="292"/>
      <c r="S78" s="286"/>
    </row>
    <row r="79" spans="4:19" hidden="1">
      <c r="D79" s="289"/>
      <c r="E79" s="289"/>
      <c r="F79" s="149"/>
      <c r="G79" s="149"/>
      <c r="H79" s="149"/>
      <c r="I79" s="149"/>
      <c r="J79" s="290"/>
      <c r="K79" s="290"/>
      <c r="L79" s="292"/>
      <c r="M79" s="292"/>
      <c r="N79" s="292"/>
      <c r="O79" s="292"/>
      <c r="P79" s="292"/>
      <c r="Q79" s="292"/>
      <c r="R79" s="292"/>
      <c r="S79" s="286"/>
    </row>
    <row r="80" spans="4:19" hidden="1">
      <c r="D80" s="289"/>
      <c r="E80" s="289"/>
      <c r="F80" s="149"/>
      <c r="G80" s="149"/>
      <c r="H80" s="149"/>
      <c r="I80" s="149"/>
      <c r="J80" s="290"/>
      <c r="K80" s="290"/>
      <c r="L80" s="292"/>
      <c r="M80" s="292"/>
      <c r="N80" s="292"/>
      <c r="O80" s="292"/>
      <c r="P80" s="292"/>
      <c r="Q80" s="292"/>
      <c r="R80" s="292"/>
      <c r="S80" s="286"/>
    </row>
    <row r="81" spans="4:19" hidden="1">
      <c r="D81" s="289"/>
      <c r="E81" s="289"/>
      <c r="F81" s="149"/>
      <c r="G81" s="149"/>
      <c r="H81" s="149"/>
      <c r="I81" s="149"/>
      <c r="J81" s="290"/>
      <c r="K81" s="290"/>
      <c r="L81" s="292"/>
      <c r="M81" s="292"/>
      <c r="N81" s="292"/>
      <c r="O81" s="292"/>
      <c r="P81" s="292"/>
      <c r="Q81" s="292"/>
      <c r="R81" s="292"/>
      <c r="S81" s="286"/>
    </row>
    <row r="82" spans="4:19" hidden="1">
      <c r="D82" s="289"/>
      <c r="E82" s="289"/>
      <c r="F82" s="149"/>
      <c r="G82" s="149"/>
      <c r="H82" s="149"/>
      <c r="I82" s="149"/>
      <c r="J82" s="290"/>
      <c r="K82" s="290"/>
      <c r="L82" s="292"/>
      <c r="M82" s="292"/>
      <c r="N82" s="292"/>
      <c r="O82" s="292"/>
      <c r="P82" s="292"/>
      <c r="Q82" s="292"/>
      <c r="R82" s="292"/>
      <c r="S82" s="286"/>
    </row>
    <row r="83" spans="4:19" hidden="1">
      <c r="D83" s="289"/>
      <c r="E83" s="289"/>
      <c r="F83" s="149"/>
      <c r="G83" s="149"/>
      <c r="H83" s="149"/>
      <c r="I83" s="149"/>
      <c r="J83" s="290"/>
      <c r="K83" s="290"/>
      <c r="L83" s="292"/>
      <c r="M83" s="292"/>
      <c r="N83" s="292"/>
      <c r="O83" s="292"/>
      <c r="P83" s="292"/>
      <c r="Q83" s="292"/>
      <c r="R83" s="292"/>
      <c r="S83" s="286"/>
    </row>
    <row r="84" spans="4:19" hidden="1">
      <c r="D84" s="289"/>
      <c r="E84" s="289"/>
      <c r="F84" s="149"/>
      <c r="G84" s="149"/>
      <c r="H84" s="149"/>
      <c r="I84" s="149"/>
      <c r="J84" s="290"/>
      <c r="K84" s="290"/>
      <c r="L84" s="292"/>
      <c r="M84" s="292"/>
      <c r="N84" s="292"/>
      <c r="O84" s="292"/>
      <c r="P84" s="292"/>
      <c r="Q84" s="292"/>
      <c r="R84" s="292"/>
      <c r="S84" s="286"/>
    </row>
    <row r="85" spans="4:19" hidden="1">
      <c r="D85" s="289"/>
      <c r="E85" s="289"/>
      <c r="F85" s="149"/>
      <c r="G85" s="149"/>
      <c r="H85" s="149"/>
      <c r="I85" s="149"/>
      <c r="J85" s="290"/>
      <c r="K85" s="290"/>
      <c r="L85" s="292"/>
      <c r="M85" s="292"/>
      <c r="N85" s="292"/>
      <c r="O85" s="292"/>
      <c r="P85" s="292"/>
      <c r="Q85" s="292"/>
      <c r="R85" s="292"/>
      <c r="S85" s="286"/>
    </row>
    <row r="86" spans="4:19" hidden="1">
      <c r="D86" s="289"/>
      <c r="E86" s="289"/>
      <c r="F86" s="149"/>
      <c r="G86" s="149"/>
      <c r="H86" s="149"/>
      <c r="I86" s="149"/>
      <c r="J86" s="290"/>
      <c r="K86" s="290"/>
      <c r="L86" s="292"/>
      <c r="M86" s="292"/>
      <c r="N86" s="292"/>
      <c r="O86" s="292"/>
      <c r="P86" s="292"/>
      <c r="Q86" s="292"/>
      <c r="R86" s="292"/>
      <c r="S86" s="286"/>
    </row>
    <row r="87" spans="4:19" hidden="1">
      <c r="D87" s="289"/>
      <c r="E87" s="289"/>
      <c r="F87" s="149"/>
      <c r="G87" s="149"/>
      <c r="H87" s="149"/>
      <c r="I87" s="149"/>
      <c r="J87" s="290"/>
      <c r="K87" s="290"/>
      <c r="L87" s="292"/>
      <c r="M87" s="292"/>
      <c r="N87" s="292"/>
      <c r="O87" s="292"/>
      <c r="P87" s="292"/>
      <c r="Q87" s="292"/>
      <c r="R87" s="292"/>
      <c r="S87" s="286"/>
    </row>
    <row r="88" spans="4:19" hidden="1">
      <c r="D88" s="289"/>
      <c r="E88" s="289"/>
      <c r="F88" s="149"/>
      <c r="G88" s="149"/>
      <c r="H88" s="149"/>
      <c r="I88" s="149"/>
      <c r="J88" s="290"/>
      <c r="K88" s="290"/>
      <c r="L88" s="292"/>
      <c r="M88" s="292"/>
      <c r="N88" s="292"/>
      <c r="O88" s="292"/>
      <c r="P88" s="292"/>
      <c r="Q88" s="292"/>
      <c r="R88" s="292"/>
      <c r="S88" s="286"/>
    </row>
    <row r="89" spans="4:19" hidden="1">
      <c r="D89" s="289"/>
      <c r="E89" s="289"/>
      <c r="F89" s="149"/>
      <c r="G89" s="149"/>
      <c r="H89" s="149"/>
      <c r="I89" s="149"/>
      <c r="J89" s="290"/>
      <c r="K89" s="290"/>
      <c r="L89" s="292"/>
      <c r="M89" s="292"/>
      <c r="N89" s="292"/>
      <c r="O89" s="292"/>
      <c r="P89" s="292"/>
      <c r="Q89" s="292"/>
      <c r="R89" s="292"/>
      <c r="S89" s="286"/>
    </row>
    <row r="90" spans="4:19" hidden="1">
      <c r="D90" s="289"/>
      <c r="E90" s="289"/>
      <c r="F90" s="149"/>
      <c r="G90" s="149"/>
      <c r="H90" s="149"/>
      <c r="I90" s="149"/>
      <c r="J90" s="290"/>
      <c r="K90" s="290"/>
      <c r="L90" s="292"/>
      <c r="M90" s="292"/>
      <c r="N90" s="292"/>
      <c r="O90" s="292"/>
      <c r="P90" s="292"/>
      <c r="Q90" s="292"/>
      <c r="R90" s="292"/>
      <c r="S90" s="286"/>
    </row>
    <row r="91" spans="4:19" hidden="1">
      <c r="D91" s="289"/>
      <c r="E91" s="289"/>
      <c r="F91" s="149"/>
      <c r="G91" s="149"/>
      <c r="H91" s="149"/>
      <c r="I91" s="149"/>
      <c r="J91" s="290"/>
      <c r="K91" s="290"/>
      <c r="L91" s="292"/>
      <c r="M91" s="292"/>
      <c r="N91" s="292"/>
      <c r="O91" s="292"/>
      <c r="P91" s="292"/>
      <c r="Q91" s="292"/>
      <c r="R91" s="292"/>
      <c r="S91" s="286"/>
    </row>
    <row r="92" spans="4:19" hidden="1">
      <c r="D92" s="289"/>
      <c r="E92" s="289"/>
      <c r="F92" s="149"/>
      <c r="G92" s="149"/>
      <c r="H92" s="149"/>
      <c r="I92" s="149"/>
      <c r="J92" s="290"/>
      <c r="K92" s="290"/>
      <c r="L92" s="292"/>
      <c r="M92" s="292"/>
      <c r="N92" s="292"/>
      <c r="O92" s="292"/>
      <c r="P92" s="292"/>
      <c r="Q92" s="292"/>
      <c r="R92" s="292"/>
      <c r="S92" s="286"/>
    </row>
    <row r="93" spans="4:19" hidden="1">
      <c r="D93" s="289"/>
      <c r="E93" s="289"/>
      <c r="F93" s="149"/>
      <c r="G93" s="149"/>
      <c r="H93" s="149"/>
      <c r="I93" s="149"/>
      <c r="J93" s="290"/>
      <c r="K93" s="290"/>
      <c r="L93" s="292"/>
      <c r="M93" s="292"/>
      <c r="N93" s="292"/>
      <c r="O93" s="292"/>
      <c r="P93" s="292"/>
      <c r="Q93" s="292"/>
      <c r="R93" s="292"/>
      <c r="S93" s="286"/>
    </row>
    <row r="94" spans="4:19" hidden="1">
      <c r="D94" s="289"/>
      <c r="E94" s="289"/>
      <c r="F94" s="149"/>
      <c r="G94" s="149"/>
      <c r="H94" s="149"/>
      <c r="I94" s="149"/>
      <c r="J94" s="290"/>
      <c r="K94" s="290"/>
      <c r="L94" s="292"/>
      <c r="M94" s="292"/>
      <c r="N94" s="292"/>
      <c r="O94" s="292"/>
      <c r="P94" s="292"/>
      <c r="Q94" s="292"/>
      <c r="R94" s="292"/>
      <c r="S94" s="286"/>
    </row>
    <row r="95" spans="4:19" hidden="1">
      <c r="D95" s="289"/>
      <c r="E95" s="289"/>
      <c r="F95" s="149"/>
      <c r="G95" s="149"/>
      <c r="H95" s="149"/>
      <c r="I95" s="149"/>
      <c r="J95" s="290"/>
      <c r="K95" s="290"/>
      <c r="L95" s="292"/>
      <c r="M95" s="292"/>
      <c r="N95" s="292"/>
      <c r="O95" s="292"/>
      <c r="P95" s="292"/>
      <c r="Q95" s="292"/>
      <c r="R95" s="292"/>
      <c r="S95" s="286"/>
    </row>
    <row r="96" spans="4:19" hidden="1">
      <c r="D96" s="289"/>
      <c r="E96" s="289"/>
      <c r="F96" s="149"/>
      <c r="G96" s="149"/>
      <c r="H96" s="149"/>
      <c r="I96" s="149"/>
      <c r="J96" s="290"/>
      <c r="K96" s="290"/>
      <c r="L96" s="292"/>
      <c r="M96" s="292"/>
      <c r="N96" s="292"/>
      <c r="O96" s="292"/>
      <c r="P96" s="292"/>
      <c r="Q96" s="292"/>
      <c r="R96" s="292"/>
      <c r="S96" s="286"/>
    </row>
    <row r="97" spans="2:19" hidden="1">
      <c r="D97" s="289"/>
      <c r="E97" s="289"/>
      <c r="F97" s="149"/>
      <c r="G97" s="149"/>
      <c r="H97" s="149"/>
      <c r="I97" s="149"/>
      <c r="J97" s="290"/>
      <c r="K97" s="290"/>
      <c r="L97" s="292"/>
      <c r="M97" s="292"/>
      <c r="N97" s="292"/>
      <c r="O97" s="292"/>
      <c r="P97" s="292"/>
      <c r="Q97" s="292"/>
      <c r="R97" s="292"/>
      <c r="S97" s="286"/>
    </row>
    <row r="98" spans="2:19" hidden="1">
      <c r="D98" s="289"/>
      <c r="E98" s="289"/>
      <c r="F98" s="149"/>
      <c r="G98" s="149"/>
      <c r="H98" s="149"/>
      <c r="I98" s="149"/>
      <c r="J98" s="290"/>
      <c r="K98" s="290"/>
      <c r="L98" s="292"/>
      <c r="M98" s="292"/>
      <c r="N98" s="292"/>
      <c r="O98" s="292"/>
      <c r="P98" s="292"/>
      <c r="Q98" s="292"/>
      <c r="R98" s="292"/>
      <c r="S98" s="286"/>
    </row>
    <row r="99" spans="2:19" hidden="1">
      <c r="D99" s="289"/>
      <c r="E99" s="289"/>
      <c r="F99" s="149"/>
      <c r="G99" s="149"/>
      <c r="H99" s="149"/>
      <c r="I99" s="149"/>
      <c r="J99" s="290"/>
      <c r="K99" s="290"/>
      <c r="L99" s="292"/>
      <c r="M99" s="292"/>
      <c r="N99" s="292"/>
      <c r="O99" s="292"/>
      <c r="P99" s="292"/>
      <c r="Q99" s="292"/>
      <c r="R99" s="292"/>
      <c r="S99" s="286"/>
    </row>
    <row r="100" spans="2:19" hidden="1">
      <c r="D100" s="289"/>
      <c r="E100" s="289"/>
      <c r="F100" s="149"/>
      <c r="G100" s="149"/>
      <c r="H100" s="149"/>
      <c r="I100" s="149"/>
      <c r="J100" s="290"/>
      <c r="K100" s="290"/>
      <c r="L100" s="292"/>
      <c r="M100" s="292"/>
      <c r="N100" s="292"/>
      <c r="O100" s="292"/>
      <c r="P100" s="292"/>
      <c r="Q100" s="292"/>
      <c r="R100" s="292"/>
      <c r="S100" s="286"/>
    </row>
    <row r="101" spans="2:19" hidden="1">
      <c r="D101" s="289"/>
      <c r="E101" s="289"/>
      <c r="F101" s="149"/>
      <c r="G101" s="149"/>
      <c r="H101" s="149"/>
      <c r="I101" s="149"/>
      <c r="J101" s="290"/>
      <c r="K101" s="290"/>
      <c r="L101" s="292"/>
      <c r="M101" s="292"/>
      <c r="N101" s="292"/>
      <c r="O101" s="292"/>
      <c r="P101" s="292"/>
      <c r="Q101" s="292"/>
      <c r="R101" s="292"/>
      <c r="S101" s="286"/>
    </row>
    <row r="102" spans="2:19">
      <c r="D102" s="418"/>
      <c r="E102" s="418"/>
      <c r="F102" s="418"/>
      <c r="G102" s="418"/>
      <c r="H102" s="418"/>
      <c r="I102" s="418"/>
      <c r="J102" s="418"/>
      <c r="K102" s="418"/>
      <c r="L102" s="293"/>
      <c r="M102" s="293"/>
      <c r="N102" s="293"/>
      <c r="O102" s="294"/>
      <c r="P102" s="294"/>
      <c r="Q102" s="293"/>
      <c r="R102" s="293"/>
      <c r="S102" s="286"/>
    </row>
    <row r="103" spans="2:19" ht="51.75" customHeight="1">
      <c r="D103" s="419" t="s">
        <v>94</v>
      </c>
      <c r="E103" s="419"/>
      <c r="F103" s="419"/>
      <c r="G103" s="419"/>
      <c r="H103" s="419"/>
      <c r="I103" s="419"/>
      <c r="J103" s="419"/>
      <c r="K103" s="419"/>
      <c r="L103" s="419"/>
      <c r="M103" s="419"/>
      <c r="N103" s="419"/>
      <c r="O103" s="419"/>
      <c r="P103" s="419"/>
      <c r="Q103" s="419"/>
      <c r="R103" s="419"/>
      <c r="S103" s="419"/>
    </row>
    <row r="104" spans="2:19">
      <c r="D104" s="420" t="s">
        <v>95</v>
      </c>
      <c r="E104" s="420"/>
      <c r="F104" s="420"/>
      <c r="G104" s="420"/>
      <c r="H104" s="420"/>
      <c r="I104" s="420"/>
      <c r="J104" s="420"/>
      <c r="K104" s="420"/>
      <c r="L104" s="420"/>
      <c r="M104" s="420"/>
      <c r="N104" s="420"/>
      <c r="O104" s="420"/>
      <c r="P104" s="420"/>
      <c r="Q104" s="420"/>
      <c r="R104" s="420"/>
      <c r="S104" s="420"/>
    </row>
    <row r="105" spans="2:19">
      <c r="D105" s="3"/>
      <c r="E105" s="3"/>
      <c r="F105" s="3"/>
      <c r="G105" s="3"/>
      <c r="H105" s="3"/>
      <c r="I105" s="3"/>
      <c r="J105" s="3"/>
      <c r="K105" s="3"/>
      <c r="L105" s="3"/>
      <c r="M105" s="3"/>
      <c r="N105" s="3"/>
      <c r="O105" s="3"/>
      <c r="P105" s="3"/>
      <c r="Q105" s="3"/>
      <c r="R105" s="3"/>
      <c r="S105" s="3"/>
    </row>
    <row r="106" spans="2:19">
      <c r="D106" s="3"/>
      <c r="E106" s="3"/>
      <c r="F106" s="3"/>
      <c r="G106" s="3"/>
      <c r="H106" s="3"/>
      <c r="I106" s="3"/>
      <c r="J106" s="3"/>
      <c r="K106" s="3"/>
      <c r="L106" s="3"/>
      <c r="M106" s="3"/>
      <c r="N106" s="3"/>
      <c r="O106" s="3"/>
      <c r="P106" s="3"/>
      <c r="Q106" s="3"/>
      <c r="R106" s="3"/>
      <c r="S106" s="3"/>
    </row>
    <row r="108" spans="2:19" ht="15" thickBot="1"/>
    <row r="109" spans="2:19" ht="15" customHeight="1">
      <c r="B109" s="412" t="s">
        <v>649</v>
      </c>
      <c r="D109" s="3" t="s">
        <v>102</v>
      </c>
      <c r="E109" s="3"/>
      <c r="F109" s="3"/>
      <c r="G109" s="3"/>
      <c r="H109" s="3"/>
    </row>
    <row r="110" spans="2:19" ht="15" customHeight="1">
      <c r="B110" s="413"/>
      <c r="D110" s="3" t="s">
        <v>650</v>
      </c>
      <c r="E110" s="3"/>
      <c r="F110" s="3"/>
      <c r="G110" s="3"/>
      <c r="H110" s="3"/>
    </row>
    <row r="111" spans="2:19" ht="21" customHeight="1" thickBot="1">
      <c r="B111" s="414"/>
      <c r="D111" s="75" t="s">
        <v>101</v>
      </c>
      <c r="E111" s="3"/>
      <c r="F111" s="3"/>
      <c r="G111" s="3"/>
      <c r="H111" s="3"/>
    </row>
    <row r="112" spans="2:19" ht="5.25" customHeight="1">
      <c r="D112" s="3"/>
      <c r="E112" s="69"/>
      <c r="F112" s="69"/>
      <c r="G112" s="69"/>
      <c r="H112" s="69"/>
      <c r="I112" s="3"/>
      <c r="J112" s="3"/>
      <c r="K112" s="3"/>
      <c r="L112" s="3"/>
      <c r="M112" s="3"/>
      <c r="N112" s="3"/>
      <c r="O112" s="3"/>
      <c r="P112" s="3"/>
      <c r="Q112" s="3"/>
      <c r="R112" s="3"/>
      <c r="S112" s="3"/>
    </row>
    <row r="113" spans="4:19" ht="5.25" customHeight="1">
      <c r="D113" s="3"/>
      <c r="E113" s="69"/>
      <c r="F113" s="69"/>
      <c r="G113" s="69"/>
      <c r="H113" s="69"/>
      <c r="I113" s="3"/>
      <c r="J113" s="3"/>
      <c r="K113" s="3"/>
      <c r="L113" s="3"/>
      <c r="M113" s="3"/>
      <c r="N113" s="3"/>
      <c r="O113" s="3"/>
      <c r="P113" s="3"/>
      <c r="Q113" s="3"/>
      <c r="R113" s="3"/>
      <c r="S113" s="3"/>
    </row>
    <row r="114" spans="4:19">
      <c r="D114" s="3" t="s">
        <v>103</v>
      </c>
      <c r="E114" s="3"/>
      <c r="F114" s="3"/>
      <c r="G114" s="3"/>
      <c r="H114" s="3"/>
    </row>
    <row r="115" spans="4:19" ht="5.25" customHeight="1">
      <c r="D115" s="3"/>
      <c r="E115" s="69"/>
      <c r="F115" s="69"/>
      <c r="G115" s="69"/>
      <c r="H115" s="69"/>
      <c r="I115" s="3"/>
      <c r="J115" s="3"/>
      <c r="K115" s="3"/>
      <c r="L115" s="3"/>
      <c r="M115" s="3"/>
      <c r="N115" s="3"/>
      <c r="O115" s="3"/>
      <c r="P115" s="3"/>
      <c r="Q115" s="3"/>
      <c r="R115" s="3"/>
      <c r="S115" s="3"/>
    </row>
    <row r="116" spans="4:19" s="3" customFormat="1" ht="13">
      <c r="D116" s="76" t="s">
        <v>104</v>
      </c>
      <c r="E116" s="77" t="s">
        <v>105</v>
      </c>
      <c r="F116" s="77" t="s">
        <v>106</v>
      </c>
      <c r="G116" s="77" t="s">
        <v>27</v>
      </c>
      <c r="H116" s="77" t="s">
        <v>107</v>
      </c>
      <c r="I116" s="77" t="s">
        <v>108</v>
      </c>
      <c r="J116" s="77" t="s">
        <v>30</v>
      </c>
      <c r="K116" s="77" t="s">
        <v>31</v>
      </c>
      <c r="L116" s="77" t="s">
        <v>109</v>
      </c>
      <c r="M116" s="77" t="s">
        <v>110</v>
      </c>
      <c r="N116" s="77" t="s">
        <v>111</v>
      </c>
      <c r="O116" s="77" t="s">
        <v>35</v>
      </c>
      <c r="P116" s="77" t="s">
        <v>112</v>
      </c>
    </row>
    <row r="117" spans="4:19" s="3" customFormat="1" ht="13">
      <c r="D117" s="78" t="s">
        <v>113</v>
      </c>
      <c r="E117" s="79"/>
      <c r="F117" s="79"/>
      <c r="G117" s="79"/>
      <c r="H117" s="79"/>
      <c r="I117" s="79" t="s">
        <v>114</v>
      </c>
      <c r="J117" s="79" t="s">
        <v>115</v>
      </c>
      <c r="K117" s="79" t="s">
        <v>116</v>
      </c>
      <c r="L117" s="79" t="s">
        <v>117</v>
      </c>
      <c r="M117" s="79" t="s">
        <v>118</v>
      </c>
      <c r="N117" s="79" t="s">
        <v>119</v>
      </c>
      <c r="O117" s="79" t="s">
        <v>120</v>
      </c>
      <c r="P117" s="79" t="s">
        <v>121</v>
      </c>
    </row>
    <row r="118" spans="4:19" s="3" customFormat="1" ht="13">
      <c r="D118" s="78" t="s">
        <v>122</v>
      </c>
      <c r="E118" s="79" t="s">
        <v>123</v>
      </c>
      <c r="F118" s="79" t="s">
        <v>124</v>
      </c>
      <c r="G118" s="79" t="s">
        <v>125</v>
      </c>
      <c r="H118" s="79" t="s">
        <v>126</v>
      </c>
      <c r="I118" s="79" t="s">
        <v>127</v>
      </c>
      <c r="J118" s="79" t="s">
        <v>128</v>
      </c>
      <c r="K118" s="79" t="s">
        <v>129</v>
      </c>
      <c r="L118" s="79" t="s">
        <v>130</v>
      </c>
      <c r="M118" s="79" t="s">
        <v>131</v>
      </c>
      <c r="N118" s="79" t="s">
        <v>132</v>
      </c>
      <c r="O118" s="79" t="s">
        <v>133</v>
      </c>
      <c r="P118" s="79" t="s">
        <v>134</v>
      </c>
    </row>
    <row r="119" spans="4:19" s="3" customFormat="1" ht="13">
      <c r="D119" s="78" t="s">
        <v>135</v>
      </c>
      <c r="E119" s="79" t="s">
        <v>136</v>
      </c>
      <c r="F119" s="79" t="s">
        <v>137</v>
      </c>
      <c r="G119" s="79" t="s">
        <v>138</v>
      </c>
      <c r="H119" s="79" t="s">
        <v>139</v>
      </c>
      <c r="I119" s="79" t="s">
        <v>140</v>
      </c>
      <c r="J119" s="79" t="s">
        <v>141</v>
      </c>
      <c r="K119" s="79" t="s">
        <v>142</v>
      </c>
      <c r="L119" s="79" t="s">
        <v>143</v>
      </c>
      <c r="M119" s="79" t="s">
        <v>144</v>
      </c>
      <c r="N119" s="79" t="s">
        <v>145</v>
      </c>
      <c r="O119" s="79" t="s">
        <v>146</v>
      </c>
      <c r="P119" s="79" t="s">
        <v>147</v>
      </c>
    </row>
    <row r="120" spans="4:19" s="3" customFormat="1" ht="13">
      <c r="D120" s="411"/>
      <c r="E120" s="411"/>
      <c r="F120" s="411"/>
      <c r="G120" s="411"/>
      <c r="H120" s="411"/>
      <c r="I120" s="411"/>
      <c r="J120" s="411"/>
      <c r="K120" s="411"/>
      <c r="L120" s="411"/>
      <c r="M120" s="411"/>
      <c r="N120" s="411"/>
      <c r="O120" s="411"/>
      <c r="P120" s="411"/>
    </row>
    <row r="121" spans="4:19" s="3" customFormat="1" ht="13">
      <c r="D121" s="78" t="s">
        <v>148</v>
      </c>
      <c r="E121" s="79" t="s">
        <v>149</v>
      </c>
      <c r="F121" s="79" t="s">
        <v>150</v>
      </c>
      <c r="G121" s="79" t="s">
        <v>151</v>
      </c>
      <c r="H121" s="79" t="s">
        <v>152</v>
      </c>
      <c r="I121" s="79" t="s">
        <v>153</v>
      </c>
      <c r="J121" s="79" t="s">
        <v>154</v>
      </c>
      <c r="K121" s="79" t="s">
        <v>136</v>
      </c>
      <c r="L121" s="79" t="s">
        <v>155</v>
      </c>
      <c r="M121" s="79" t="s">
        <v>156</v>
      </c>
      <c r="N121" s="79" t="s">
        <v>157</v>
      </c>
      <c r="O121" s="79" t="s">
        <v>158</v>
      </c>
      <c r="P121" s="79" t="s">
        <v>159</v>
      </c>
    </row>
    <row r="122" spans="4:19" s="3" customFormat="1" ht="13">
      <c r="D122" s="78" t="s">
        <v>160</v>
      </c>
      <c r="E122" s="79" t="s">
        <v>161</v>
      </c>
      <c r="F122" s="79" t="s">
        <v>162</v>
      </c>
      <c r="G122" s="79" t="s">
        <v>163</v>
      </c>
      <c r="H122" s="79" t="s">
        <v>164</v>
      </c>
      <c r="I122" s="79" t="s">
        <v>165</v>
      </c>
      <c r="J122" s="79" t="s">
        <v>166</v>
      </c>
      <c r="K122" s="79" t="s">
        <v>167</v>
      </c>
      <c r="L122" s="79" t="s">
        <v>168</v>
      </c>
      <c r="M122" s="79" t="s">
        <v>169</v>
      </c>
      <c r="N122" s="79" t="s">
        <v>170</v>
      </c>
      <c r="O122" s="79" t="s">
        <v>171</v>
      </c>
      <c r="P122" s="79" t="s">
        <v>172</v>
      </c>
    </row>
    <row r="123" spans="4:19" s="3" customFormat="1" ht="13">
      <c r="D123" s="78" t="s">
        <v>173</v>
      </c>
      <c r="E123" s="79" t="s">
        <v>174</v>
      </c>
      <c r="F123" s="79" t="s">
        <v>175</v>
      </c>
      <c r="G123" s="79" t="s">
        <v>176</v>
      </c>
      <c r="H123" s="79" t="s">
        <v>177</v>
      </c>
      <c r="I123" s="79" t="s">
        <v>178</v>
      </c>
      <c r="J123" s="79" t="s">
        <v>179</v>
      </c>
      <c r="K123" s="79" t="s">
        <v>180</v>
      </c>
      <c r="L123" s="79" t="s">
        <v>181</v>
      </c>
      <c r="M123" s="79" t="s">
        <v>182</v>
      </c>
      <c r="N123" s="79" t="s">
        <v>183</v>
      </c>
      <c r="O123" s="79" t="s">
        <v>184</v>
      </c>
      <c r="P123" s="79" t="s">
        <v>185</v>
      </c>
    </row>
    <row r="124" spans="4:19" s="3" customFormat="1" ht="13">
      <c r="D124" s="78" t="s">
        <v>186</v>
      </c>
      <c r="E124" s="79" t="s">
        <v>187</v>
      </c>
      <c r="F124" s="79" t="s">
        <v>188</v>
      </c>
      <c r="G124" s="79" t="s">
        <v>189</v>
      </c>
      <c r="H124" s="79" t="s">
        <v>190</v>
      </c>
      <c r="I124" s="79" t="s">
        <v>191</v>
      </c>
      <c r="J124" s="79" t="s">
        <v>192</v>
      </c>
      <c r="K124" s="79" t="s">
        <v>193</v>
      </c>
      <c r="L124" s="79" t="s">
        <v>194</v>
      </c>
      <c r="M124" s="79" t="s">
        <v>195</v>
      </c>
      <c r="N124" s="79" t="s">
        <v>152</v>
      </c>
      <c r="O124" s="79" t="s">
        <v>196</v>
      </c>
      <c r="P124" s="79" t="s">
        <v>197</v>
      </c>
    </row>
    <row r="125" spans="4:19" s="3" customFormat="1" ht="13">
      <c r="D125" s="78" t="s">
        <v>198</v>
      </c>
      <c r="E125" s="79" t="s">
        <v>199</v>
      </c>
      <c r="F125" s="79" t="s">
        <v>200</v>
      </c>
      <c r="G125" s="79" t="s">
        <v>201</v>
      </c>
      <c r="H125" s="79" t="s">
        <v>202</v>
      </c>
      <c r="I125" s="79" t="s">
        <v>203</v>
      </c>
      <c r="J125" s="79" t="s">
        <v>204</v>
      </c>
      <c r="K125" s="79" t="s">
        <v>205</v>
      </c>
      <c r="L125" s="79" t="s">
        <v>137</v>
      </c>
      <c r="M125" s="79" t="s">
        <v>206</v>
      </c>
      <c r="N125" s="79" t="s">
        <v>207</v>
      </c>
      <c r="O125" s="79" t="s">
        <v>208</v>
      </c>
      <c r="P125" s="79" t="s">
        <v>209</v>
      </c>
    </row>
    <row r="126" spans="4:19" s="3" customFormat="1" ht="13">
      <c r="D126" s="411"/>
      <c r="E126" s="411"/>
      <c r="F126" s="411"/>
      <c r="G126" s="411"/>
      <c r="H126" s="411"/>
      <c r="I126" s="411"/>
      <c r="J126" s="411"/>
      <c r="K126" s="411"/>
      <c r="L126" s="411"/>
      <c r="M126" s="411"/>
      <c r="N126" s="411"/>
      <c r="O126" s="411"/>
      <c r="P126" s="411"/>
    </row>
    <row r="127" spans="4:19" s="3" customFormat="1" ht="13">
      <c r="D127" s="78" t="s">
        <v>210</v>
      </c>
      <c r="E127" s="79" t="s">
        <v>211</v>
      </c>
      <c r="F127" s="79" t="s">
        <v>212</v>
      </c>
      <c r="G127" s="79" t="s">
        <v>213</v>
      </c>
      <c r="H127" s="79" t="s">
        <v>214</v>
      </c>
      <c r="I127" s="79" t="s">
        <v>215</v>
      </c>
      <c r="J127" s="79" t="s">
        <v>216</v>
      </c>
      <c r="K127" s="79" t="s">
        <v>217</v>
      </c>
      <c r="L127" s="79" t="s">
        <v>218</v>
      </c>
      <c r="M127" s="79" t="s">
        <v>194</v>
      </c>
      <c r="N127" s="79" t="s">
        <v>219</v>
      </c>
      <c r="O127" s="79" t="s">
        <v>220</v>
      </c>
      <c r="P127" s="79" t="s">
        <v>221</v>
      </c>
    </row>
    <row r="128" spans="4:19" s="3" customFormat="1" ht="13">
      <c r="D128" s="78" t="s">
        <v>222</v>
      </c>
      <c r="E128" s="79" t="s">
        <v>223</v>
      </c>
      <c r="F128" s="79" t="s">
        <v>224</v>
      </c>
      <c r="G128" s="79" t="s">
        <v>225</v>
      </c>
      <c r="H128" s="79" t="s">
        <v>226</v>
      </c>
      <c r="I128" s="79" t="s">
        <v>227</v>
      </c>
      <c r="J128" s="79" t="s">
        <v>228</v>
      </c>
      <c r="K128" s="79" t="s">
        <v>229</v>
      </c>
      <c r="L128" s="79" t="s">
        <v>230</v>
      </c>
      <c r="M128" s="79" t="s">
        <v>231</v>
      </c>
      <c r="N128" s="79" t="s">
        <v>232</v>
      </c>
      <c r="O128" s="79" t="s">
        <v>233</v>
      </c>
      <c r="P128" s="79" t="s">
        <v>234</v>
      </c>
    </row>
    <row r="129" spans="4:16" s="3" customFormat="1" ht="13">
      <c r="D129" s="78" t="s">
        <v>235</v>
      </c>
      <c r="E129" s="79" t="s">
        <v>236</v>
      </c>
      <c r="F129" s="79" t="s">
        <v>237</v>
      </c>
      <c r="G129" s="79" t="s">
        <v>238</v>
      </c>
      <c r="H129" s="79" t="s">
        <v>239</v>
      </c>
      <c r="I129" s="79" t="s">
        <v>240</v>
      </c>
      <c r="J129" s="79" t="s">
        <v>241</v>
      </c>
      <c r="K129" s="79" t="s">
        <v>228</v>
      </c>
      <c r="L129" s="79" t="s">
        <v>242</v>
      </c>
      <c r="M129" s="79" t="s">
        <v>228</v>
      </c>
      <c r="N129" s="79" t="s">
        <v>243</v>
      </c>
      <c r="O129" s="79" t="s">
        <v>244</v>
      </c>
      <c r="P129" s="79" t="s">
        <v>245</v>
      </c>
    </row>
    <row r="130" spans="4:16" s="3" customFormat="1" ht="13">
      <c r="D130" s="78" t="s">
        <v>246</v>
      </c>
      <c r="E130" s="79" t="s">
        <v>247</v>
      </c>
      <c r="F130" s="79" t="s">
        <v>248</v>
      </c>
      <c r="G130" s="79" t="s">
        <v>249</v>
      </c>
      <c r="H130" s="79" t="s">
        <v>250</v>
      </c>
      <c r="I130" s="79" t="s">
        <v>251</v>
      </c>
      <c r="J130" s="79" t="s">
        <v>252</v>
      </c>
      <c r="K130" s="79" t="s">
        <v>253</v>
      </c>
      <c r="L130" s="79" t="s">
        <v>254</v>
      </c>
      <c r="M130" s="79" t="s">
        <v>255</v>
      </c>
      <c r="N130" s="79" t="s">
        <v>256</v>
      </c>
      <c r="O130" s="79" t="s">
        <v>257</v>
      </c>
      <c r="P130" s="79" t="s">
        <v>258</v>
      </c>
    </row>
    <row r="131" spans="4:16" s="3" customFormat="1" ht="13">
      <c r="D131" s="78" t="s">
        <v>259</v>
      </c>
      <c r="E131" s="79" t="s">
        <v>260</v>
      </c>
      <c r="F131" s="79" t="s">
        <v>261</v>
      </c>
      <c r="G131" s="79" t="s">
        <v>262</v>
      </c>
      <c r="H131" s="79" t="s">
        <v>263</v>
      </c>
      <c r="I131" s="79" t="s">
        <v>202</v>
      </c>
      <c r="J131" s="79" t="s">
        <v>264</v>
      </c>
      <c r="K131" s="79" t="s">
        <v>163</v>
      </c>
      <c r="L131" s="79" t="s">
        <v>265</v>
      </c>
      <c r="M131" s="79" t="s">
        <v>266</v>
      </c>
      <c r="N131" s="79" t="s">
        <v>267</v>
      </c>
      <c r="O131" s="79" t="s">
        <v>268</v>
      </c>
      <c r="P131" s="79" t="s">
        <v>269</v>
      </c>
    </row>
    <row r="132" spans="4:16" s="3" customFormat="1" ht="13">
      <c r="D132" s="411"/>
      <c r="E132" s="411"/>
      <c r="F132" s="411"/>
      <c r="G132" s="411"/>
      <c r="H132" s="411"/>
      <c r="I132" s="411"/>
      <c r="J132" s="411"/>
      <c r="K132" s="411"/>
      <c r="L132" s="411"/>
      <c r="M132" s="411"/>
      <c r="N132" s="411"/>
      <c r="O132" s="411"/>
      <c r="P132" s="411"/>
    </row>
    <row r="133" spans="4:16" s="3" customFormat="1" ht="13">
      <c r="D133" s="78" t="s">
        <v>270</v>
      </c>
      <c r="E133" s="79" t="s">
        <v>271</v>
      </c>
      <c r="F133" s="79" t="s">
        <v>272</v>
      </c>
      <c r="G133" s="79" t="s">
        <v>273</v>
      </c>
      <c r="H133" s="79" t="s">
        <v>233</v>
      </c>
      <c r="I133" s="79" t="s">
        <v>274</v>
      </c>
      <c r="J133" s="79" t="s">
        <v>275</v>
      </c>
      <c r="K133" s="79" t="s">
        <v>276</v>
      </c>
      <c r="L133" s="79" t="s">
        <v>277</v>
      </c>
      <c r="M133" s="79" t="s">
        <v>278</v>
      </c>
      <c r="N133" s="79" t="s">
        <v>279</v>
      </c>
      <c r="O133" s="79" t="s">
        <v>280</v>
      </c>
      <c r="P133" s="79" t="s">
        <v>281</v>
      </c>
    </row>
    <row r="134" spans="4:16" s="3" customFormat="1" ht="13">
      <c r="D134" s="78" t="s">
        <v>282</v>
      </c>
      <c r="E134" s="79" t="s">
        <v>283</v>
      </c>
      <c r="F134" s="79" t="s">
        <v>284</v>
      </c>
      <c r="G134" s="79" t="s">
        <v>285</v>
      </c>
      <c r="H134" s="79" t="s">
        <v>281</v>
      </c>
      <c r="I134" s="79" t="s">
        <v>286</v>
      </c>
      <c r="J134" s="79" t="s">
        <v>287</v>
      </c>
      <c r="K134" s="79" t="s">
        <v>288</v>
      </c>
      <c r="L134" s="79" t="s">
        <v>289</v>
      </c>
      <c r="M134" s="79" t="s">
        <v>283</v>
      </c>
      <c r="N134" s="79" t="s">
        <v>290</v>
      </c>
      <c r="O134" s="79" t="s">
        <v>291</v>
      </c>
      <c r="P134" s="79" t="s">
        <v>292</v>
      </c>
    </row>
    <row r="135" spans="4:16" s="3" customFormat="1" ht="13">
      <c r="D135" s="78" t="s">
        <v>293</v>
      </c>
      <c r="E135" s="79" t="s">
        <v>294</v>
      </c>
      <c r="F135" s="79" t="s">
        <v>295</v>
      </c>
      <c r="G135" s="79" t="s">
        <v>296</v>
      </c>
      <c r="H135" s="79" t="s">
        <v>297</v>
      </c>
      <c r="I135" s="79" t="s">
        <v>298</v>
      </c>
      <c r="J135" s="79" t="s">
        <v>299</v>
      </c>
      <c r="K135" s="79" t="s">
        <v>300</v>
      </c>
      <c r="L135" s="79" t="s">
        <v>301</v>
      </c>
      <c r="M135" s="79" t="s">
        <v>302</v>
      </c>
      <c r="N135" s="79" t="s">
        <v>303</v>
      </c>
      <c r="O135" s="79" t="s">
        <v>304</v>
      </c>
      <c r="P135" s="79" t="s">
        <v>305</v>
      </c>
    </row>
    <row r="136" spans="4:16" s="3" customFormat="1" ht="13">
      <c r="D136" s="78" t="s">
        <v>306</v>
      </c>
      <c r="E136" s="79" t="s">
        <v>307</v>
      </c>
      <c r="F136" s="79" t="s">
        <v>308</v>
      </c>
      <c r="G136" s="79" t="s">
        <v>309</v>
      </c>
      <c r="H136" s="79" t="s">
        <v>310</v>
      </c>
      <c r="I136" s="79" t="s">
        <v>311</v>
      </c>
      <c r="J136" s="79" t="s">
        <v>312</v>
      </c>
      <c r="K136" s="79" t="s">
        <v>313</v>
      </c>
      <c r="L136" s="79" t="s">
        <v>314</v>
      </c>
      <c r="M136" s="79" t="s">
        <v>315</v>
      </c>
      <c r="N136" s="79" t="s">
        <v>316</v>
      </c>
      <c r="O136" s="79" t="s">
        <v>317</v>
      </c>
      <c r="P136" s="79" t="s">
        <v>318</v>
      </c>
    </row>
    <row r="137" spans="4:16" s="3" customFormat="1" ht="13">
      <c r="D137" s="78" t="s">
        <v>319</v>
      </c>
      <c r="E137" s="79" t="s">
        <v>320</v>
      </c>
      <c r="F137" s="79" t="s">
        <v>321</v>
      </c>
      <c r="G137" s="79" t="s">
        <v>322</v>
      </c>
      <c r="H137" s="79" t="s">
        <v>323</v>
      </c>
      <c r="I137" s="79" t="s">
        <v>324</v>
      </c>
      <c r="J137" s="79" t="s">
        <v>325</v>
      </c>
      <c r="K137" s="79" t="s">
        <v>326</v>
      </c>
      <c r="L137" s="79" t="s">
        <v>327</v>
      </c>
      <c r="M137" s="79" t="s">
        <v>328</v>
      </c>
      <c r="N137" s="79" t="s">
        <v>329</v>
      </c>
      <c r="O137" s="79" t="s">
        <v>330</v>
      </c>
      <c r="P137" s="79" t="s">
        <v>331</v>
      </c>
    </row>
    <row r="138" spans="4:16" s="3" customFormat="1" ht="13">
      <c r="D138" s="411"/>
      <c r="E138" s="411"/>
      <c r="F138" s="411"/>
      <c r="G138" s="411"/>
      <c r="H138" s="411"/>
      <c r="I138" s="411"/>
      <c r="J138" s="411"/>
      <c r="K138" s="411"/>
      <c r="L138" s="411"/>
      <c r="M138" s="411"/>
      <c r="N138" s="411"/>
      <c r="O138" s="411"/>
      <c r="P138" s="411"/>
    </row>
    <row r="139" spans="4:16" s="3" customFormat="1" ht="13">
      <c r="D139" s="78" t="s">
        <v>332</v>
      </c>
      <c r="E139" s="79" t="s">
        <v>333</v>
      </c>
      <c r="F139" s="79" t="s">
        <v>334</v>
      </c>
      <c r="G139" s="79" t="s">
        <v>335</v>
      </c>
      <c r="H139" s="79" t="s">
        <v>336</v>
      </c>
      <c r="I139" s="79" t="s">
        <v>337</v>
      </c>
      <c r="J139" s="79" t="s">
        <v>338</v>
      </c>
      <c r="K139" s="79" t="s">
        <v>339</v>
      </c>
      <c r="L139" s="79" t="s">
        <v>340</v>
      </c>
      <c r="M139" s="79" t="s">
        <v>341</v>
      </c>
      <c r="N139" s="79" t="s">
        <v>342</v>
      </c>
      <c r="O139" s="79" t="s">
        <v>343</v>
      </c>
      <c r="P139" s="79" t="s">
        <v>344</v>
      </c>
    </row>
    <row r="140" spans="4:16" s="3" customFormat="1" ht="13">
      <c r="D140" s="78" t="s">
        <v>345</v>
      </c>
      <c r="E140" s="79" t="s">
        <v>346</v>
      </c>
      <c r="F140" s="79" t="s">
        <v>347</v>
      </c>
      <c r="G140" s="79" t="s">
        <v>348</v>
      </c>
      <c r="H140" s="79" t="s">
        <v>349</v>
      </c>
      <c r="I140" s="79" t="s">
        <v>350</v>
      </c>
      <c r="J140" s="79" t="s">
        <v>351</v>
      </c>
      <c r="K140" s="79" t="s">
        <v>352</v>
      </c>
      <c r="L140" s="79" t="s">
        <v>353</v>
      </c>
      <c r="M140" s="79" t="s">
        <v>354</v>
      </c>
      <c r="N140" s="79" t="s">
        <v>355</v>
      </c>
      <c r="O140" s="79" t="s">
        <v>356</v>
      </c>
      <c r="P140" s="79" t="s">
        <v>357</v>
      </c>
    </row>
    <row r="141" spans="4:16" s="3" customFormat="1" ht="13">
      <c r="D141" s="78" t="s">
        <v>358</v>
      </c>
      <c r="E141" s="79" t="s">
        <v>359</v>
      </c>
      <c r="F141" s="79" t="s">
        <v>360</v>
      </c>
      <c r="G141" s="79" t="s">
        <v>361</v>
      </c>
      <c r="H141" s="79" t="s">
        <v>362</v>
      </c>
      <c r="I141" s="79" t="s">
        <v>363</v>
      </c>
      <c r="J141" s="79" t="s">
        <v>364</v>
      </c>
      <c r="K141" s="79" t="s">
        <v>365</v>
      </c>
      <c r="L141" s="79" t="s">
        <v>366</v>
      </c>
      <c r="M141" s="79" t="s">
        <v>367</v>
      </c>
      <c r="N141" s="79" t="s">
        <v>368</v>
      </c>
      <c r="O141" s="79" t="s">
        <v>369</v>
      </c>
      <c r="P141" s="79" t="s">
        <v>370</v>
      </c>
    </row>
    <row r="142" spans="4:16" s="3" customFormat="1" ht="13">
      <c r="D142" s="78" t="s">
        <v>371</v>
      </c>
      <c r="E142" s="79" t="s">
        <v>372</v>
      </c>
      <c r="F142" s="79" t="s">
        <v>373</v>
      </c>
      <c r="G142" s="79" t="s">
        <v>374</v>
      </c>
      <c r="H142" s="79" t="s">
        <v>375</v>
      </c>
      <c r="I142" s="79" t="s">
        <v>376</v>
      </c>
      <c r="J142" s="79" t="s">
        <v>377</v>
      </c>
      <c r="K142" s="79" t="s">
        <v>378</v>
      </c>
      <c r="L142" s="79" t="s">
        <v>379</v>
      </c>
      <c r="M142" s="79" t="s">
        <v>380</v>
      </c>
      <c r="N142" s="79" t="s">
        <v>381</v>
      </c>
      <c r="O142" s="79" t="s">
        <v>382</v>
      </c>
      <c r="P142" s="79" t="s">
        <v>383</v>
      </c>
    </row>
    <row r="143" spans="4:16" s="3" customFormat="1" ht="13">
      <c r="D143" s="78" t="s">
        <v>384</v>
      </c>
      <c r="E143" s="79" t="s">
        <v>385</v>
      </c>
      <c r="F143" s="79" t="s">
        <v>386</v>
      </c>
      <c r="G143" s="79" t="s">
        <v>387</v>
      </c>
      <c r="H143" s="79" t="s">
        <v>388</v>
      </c>
      <c r="I143" s="79" t="s">
        <v>389</v>
      </c>
      <c r="J143" s="79" t="s">
        <v>390</v>
      </c>
      <c r="K143" s="79" t="s">
        <v>391</v>
      </c>
      <c r="L143" s="79" t="s">
        <v>392</v>
      </c>
      <c r="M143" s="79" t="s">
        <v>393</v>
      </c>
      <c r="N143" s="79" t="s">
        <v>394</v>
      </c>
      <c r="O143" s="79" t="s">
        <v>395</v>
      </c>
      <c r="P143" s="79" t="s">
        <v>396</v>
      </c>
    </row>
    <row r="144" spans="4:16" s="3" customFormat="1" ht="13">
      <c r="D144" s="411"/>
      <c r="E144" s="411"/>
      <c r="F144" s="411"/>
      <c r="G144" s="411"/>
      <c r="H144" s="411"/>
      <c r="I144" s="411"/>
      <c r="J144" s="411"/>
      <c r="K144" s="411"/>
      <c r="L144" s="411"/>
      <c r="M144" s="411"/>
      <c r="N144" s="411"/>
      <c r="O144" s="411"/>
      <c r="P144" s="411"/>
    </row>
    <row r="145" spans="4:16" s="3" customFormat="1" ht="13">
      <c r="D145" s="78" t="s">
        <v>397</v>
      </c>
      <c r="E145" s="79" t="s">
        <v>398</v>
      </c>
      <c r="F145" s="79" t="s">
        <v>399</v>
      </c>
      <c r="G145" s="79" t="s">
        <v>400</v>
      </c>
      <c r="H145" s="79" t="s">
        <v>401</v>
      </c>
      <c r="I145" s="79" t="s">
        <v>402</v>
      </c>
      <c r="J145" s="79" t="s">
        <v>403</v>
      </c>
      <c r="K145" s="79" t="s">
        <v>404</v>
      </c>
      <c r="L145" s="79" t="s">
        <v>405</v>
      </c>
      <c r="M145" s="79" t="s">
        <v>406</v>
      </c>
      <c r="N145" s="79" t="s">
        <v>407</v>
      </c>
      <c r="O145" s="79" t="s">
        <v>408</v>
      </c>
      <c r="P145" s="79" t="s">
        <v>409</v>
      </c>
    </row>
    <row r="146" spans="4:16" s="3" customFormat="1" ht="13">
      <c r="D146" s="78" t="s">
        <v>410</v>
      </c>
      <c r="E146" s="79" t="s">
        <v>411</v>
      </c>
      <c r="F146" s="79" t="s">
        <v>412</v>
      </c>
      <c r="G146" s="79" t="s">
        <v>413</v>
      </c>
      <c r="H146" s="79" t="s">
        <v>414</v>
      </c>
      <c r="I146" s="79" t="s">
        <v>415</v>
      </c>
      <c r="J146" s="79" t="s">
        <v>416</v>
      </c>
      <c r="K146" s="79" t="s">
        <v>417</v>
      </c>
      <c r="L146" s="79" t="s">
        <v>418</v>
      </c>
      <c r="M146" s="79" t="s">
        <v>419</v>
      </c>
      <c r="N146" s="79" t="s">
        <v>420</v>
      </c>
      <c r="O146" s="79" t="s">
        <v>421</v>
      </c>
      <c r="P146" s="79" t="s">
        <v>422</v>
      </c>
    </row>
    <row r="147" spans="4:16" s="3" customFormat="1" ht="13">
      <c r="D147" s="78" t="s">
        <v>423</v>
      </c>
      <c r="E147" s="79" t="s">
        <v>424</v>
      </c>
      <c r="F147" s="79" t="s">
        <v>425</v>
      </c>
      <c r="G147" s="79" t="s">
        <v>426</v>
      </c>
      <c r="H147" s="79" t="s">
        <v>427</v>
      </c>
      <c r="I147" s="79" t="s">
        <v>428</v>
      </c>
      <c r="J147" s="79" t="s">
        <v>429</v>
      </c>
      <c r="K147" s="79" t="s">
        <v>430</v>
      </c>
      <c r="L147" s="79" t="s">
        <v>431</v>
      </c>
      <c r="M147" s="79" t="s">
        <v>432</v>
      </c>
      <c r="N147" s="79" t="s">
        <v>433</v>
      </c>
      <c r="O147" s="79" t="s">
        <v>434</v>
      </c>
      <c r="P147" s="79" t="s">
        <v>435</v>
      </c>
    </row>
    <row r="148" spans="4:16" s="3" customFormat="1" ht="13">
      <c r="D148" s="78" t="s">
        <v>436</v>
      </c>
      <c r="E148" s="79" t="s">
        <v>437</v>
      </c>
      <c r="F148" s="79" t="s">
        <v>438</v>
      </c>
      <c r="G148" s="79" t="s">
        <v>439</v>
      </c>
      <c r="H148" s="79" t="s">
        <v>440</v>
      </c>
      <c r="I148" s="79" t="s">
        <v>441</v>
      </c>
      <c r="J148" s="79" t="s">
        <v>442</v>
      </c>
      <c r="K148" s="79" t="s">
        <v>443</v>
      </c>
      <c r="L148" s="79" t="s">
        <v>444</v>
      </c>
      <c r="M148" s="79" t="s">
        <v>445</v>
      </c>
      <c r="N148" s="79" t="s">
        <v>446</v>
      </c>
      <c r="O148" s="79" t="s">
        <v>447</v>
      </c>
      <c r="P148" s="79" t="s">
        <v>448</v>
      </c>
    </row>
    <row r="149" spans="4:16" s="3" customFormat="1" ht="13">
      <c r="D149" s="78" t="s">
        <v>449</v>
      </c>
      <c r="E149" s="79" t="s">
        <v>450</v>
      </c>
      <c r="F149" s="79" t="s">
        <v>451</v>
      </c>
      <c r="G149" s="79" t="s">
        <v>452</v>
      </c>
      <c r="H149" s="79" t="s">
        <v>453</v>
      </c>
      <c r="I149" s="79" t="s">
        <v>454</v>
      </c>
      <c r="J149" s="79" t="s">
        <v>455</v>
      </c>
      <c r="K149" s="79" t="s">
        <v>456</v>
      </c>
      <c r="L149" s="79" t="s">
        <v>457</v>
      </c>
      <c r="M149" s="79" t="s">
        <v>458</v>
      </c>
      <c r="N149" s="79" t="s">
        <v>459</v>
      </c>
      <c r="O149" s="79" t="s">
        <v>460</v>
      </c>
      <c r="P149" s="79" t="s">
        <v>461</v>
      </c>
    </row>
    <row r="150" spans="4:16" s="3" customFormat="1" ht="13">
      <c r="D150" s="411"/>
      <c r="E150" s="411"/>
      <c r="F150" s="411"/>
      <c r="G150" s="411"/>
      <c r="H150" s="411"/>
      <c r="I150" s="411"/>
      <c r="J150" s="411"/>
      <c r="K150" s="411"/>
      <c r="L150" s="411"/>
      <c r="M150" s="411"/>
      <c r="N150" s="411"/>
      <c r="O150" s="411"/>
      <c r="P150" s="411"/>
    </row>
    <row r="151" spans="4:16" s="3" customFormat="1" ht="13">
      <c r="D151" s="78" t="s">
        <v>462</v>
      </c>
      <c r="E151" s="79" t="s">
        <v>463</v>
      </c>
      <c r="F151" s="79" t="s">
        <v>464</v>
      </c>
      <c r="G151" s="79" t="s">
        <v>465</v>
      </c>
      <c r="H151" s="79" t="s">
        <v>466</v>
      </c>
      <c r="I151" s="79" t="s">
        <v>467</v>
      </c>
      <c r="J151" s="79" t="s">
        <v>468</v>
      </c>
      <c r="K151" s="79" t="s">
        <v>469</v>
      </c>
      <c r="L151" s="79" t="s">
        <v>470</v>
      </c>
      <c r="M151" s="79" t="s">
        <v>471</v>
      </c>
      <c r="N151" s="79" t="s">
        <v>472</v>
      </c>
      <c r="O151" s="79" t="s">
        <v>473</v>
      </c>
      <c r="P151" s="79" t="s">
        <v>474</v>
      </c>
    </row>
    <row r="152" spans="4:16" s="3" customFormat="1" ht="13">
      <c r="D152" s="78" t="s">
        <v>475</v>
      </c>
      <c r="E152" s="79" t="s">
        <v>476</v>
      </c>
      <c r="F152" s="79" t="s">
        <v>477</v>
      </c>
      <c r="G152" s="79" t="s">
        <v>478</v>
      </c>
      <c r="H152" s="79" t="s">
        <v>479</v>
      </c>
      <c r="I152" s="79" t="s">
        <v>480</v>
      </c>
      <c r="J152" s="79" t="s">
        <v>481</v>
      </c>
      <c r="K152" s="79" t="s">
        <v>482</v>
      </c>
      <c r="L152" s="79" t="s">
        <v>483</v>
      </c>
      <c r="M152" s="79" t="s">
        <v>484</v>
      </c>
      <c r="N152" s="79" t="s">
        <v>485</v>
      </c>
      <c r="O152" s="79" t="s">
        <v>486</v>
      </c>
      <c r="P152" s="79" t="s">
        <v>487</v>
      </c>
    </row>
    <row r="153" spans="4:16" s="3" customFormat="1" ht="13">
      <c r="D153" s="78" t="s">
        <v>488</v>
      </c>
      <c r="E153" s="79" t="s">
        <v>489</v>
      </c>
      <c r="F153" s="79" t="s">
        <v>490</v>
      </c>
      <c r="G153" s="79" t="s">
        <v>491</v>
      </c>
      <c r="H153" s="79" t="s">
        <v>492</v>
      </c>
      <c r="I153" s="79" t="s">
        <v>493</v>
      </c>
      <c r="J153" s="79" t="s">
        <v>494</v>
      </c>
      <c r="K153" s="79" t="s">
        <v>495</v>
      </c>
      <c r="L153" s="79" t="s">
        <v>496</v>
      </c>
      <c r="M153" s="79" t="s">
        <v>497</v>
      </c>
      <c r="N153" s="79" t="s">
        <v>498</v>
      </c>
      <c r="O153" s="79" t="s">
        <v>499</v>
      </c>
      <c r="P153" s="79" t="s">
        <v>500</v>
      </c>
    </row>
    <row r="154" spans="4:16" s="3" customFormat="1" ht="13">
      <c r="D154" s="78" t="s">
        <v>501</v>
      </c>
      <c r="E154" s="79" t="s">
        <v>502</v>
      </c>
      <c r="F154" s="79" t="s">
        <v>503</v>
      </c>
      <c r="G154" s="79" t="s">
        <v>504</v>
      </c>
      <c r="H154" s="79" t="s">
        <v>505</v>
      </c>
      <c r="I154" s="79" t="s">
        <v>506</v>
      </c>
      <c r="J154" s="79" t="s">
        <v>507</v>
      </c>
      <c r="K154" s="79" t="s">
        <v>508</v>
      </c>
      <c r="L154" s="79" t="s">
        <v>509</v>
      </c>
      <c r="M154" s="79" t="s">
        <v>510</v>
      </c>
      <c r="N154" s="79" t="s">
        <v>511</v>
      </c>
      <c r="O154" s="79" t="s">
        <v>512</v>
      </c>
      <c r="P154" s="79" t="s">
        <v>513</v>
      </c>
    </row>
    <row r="155" spans="4:16" s="3" customFormat="1" ht="13">
      <c r="D155" s="78" t="s">
        <v>514</v>
      </c>
      <c r="E155" s="79" t="s">
        <v>515</v>
      </c>
      <c r="F155" s="79" t="s">
        <v>516</v>
      </c>
      <c r="G155" s="79" t="s">
        <v>517</v>
      </c>
      <c r="H155" s="79" t="s">
        <v>518</v>
      </c>
      <c r="I155" s="79" t="s">
        <v>519</v>
      </c>
      <c r="J155" s="79" t="s">
        <v>520</v>
      </c>
      <c r="K155" s="79" t="s">
        <v>521</v>
      </c>
      <c r="L155" s="79" t="s">
        <v>522</v>
      </c>
      <c r="M155" s="79" t="s">
        <v>523</v>
      </c>
      <c r="N155" s="79" t="s">
        <v>524</v>
      </c>
      <c r="O155" s="79" t="s">
        <v>525</v>
      </c>
      <c r="P155" s="79" t="s">
        <v>526</v>
      </c>
    </row>
    <row r="156" spans="4:16" s="3" customFormat="1" ht="13">
      <c r="D156" s="411"/>
      <c r="E156" s="411"/>
      <c r="F156" s="411"/>
      <c r="G156" s="411"/>
      <c r="H156" s="411"/>
      <c r="I156" s="411"/>
      <c r="J156" s="411"/>
      <c r="K156" s="411"/>
      <c r="L156" s="411"/>
      <c r="M156" s="411"/>
      <c r="N156" s="411"/>
      <c r="O156" s="411"/>
      <c r="P156" s="411"/>
    </row>
    <row r="157" spans="4:16" s="3" customFormat="1" ht="13">
      <c r="D157" s="78" t="s">
        <v>527</v>
      </c>
      <c r="E157" s="79" t="s">
        <v>528</v>
      </c>
      <c r="F157" s="79" t="s">
        <v>529</v>
      </c>
      <c r="G157" s="79" t="s">
        <v>530</v>
      </c>
      <c r="H157" s="79" t="s">
        <v>531</v>
      </c>
      <c r="I157" s="79" t="s">
        <v>532</v>
      </c>
      <c r="J157" s="79" t="s">
        <v>533</v>
      </c>
      <c r="K157" s="79" t="s">
        <v>534</v>
      </c>
      <c r="L157" s="79" t="s">
        <v>535</v>
      </c>
      <c r="M157" s="79" t="s">
        <v>536</v>
      </c>
      <c r="N157" s="79" t="s">
        <v>537</v>
      </c>
      <c r="O157" s="79" t="s">
        <v>538</v>
      </c>
      <c r="P157" s="79" t="s">
        <v>539</v>
      </c>
    </row>
    <row r="158" spans="4:16" s="3" customFormat="1" ht="13">
      <c r="D158" s="78" t="s">
        <v>540</v>
      </c>
      <c r="E158" s="79" t="s">
        <v>541</v>
      </c>
      <c r="F158" s="79" t="s">
        <v>542</v>
      </c>
      <c r="G158" s="79" t="s">
        <v>543</v>
      </c>
      <c r="H158" s="79" t="s">
        <v>544</v>
      </c>
      <c r="I158" s="79" t="s">
        <v>545</v>
      </c>
      <c r="J158" s="79" t="s">
        <v>546</v>
      </c>
      <c r="K158" s="79" t="s">
        <v>547</v>
      </c>
      <c r="L158" s="79" t="s">
        <v>548</v>
      </c>
      <c r="M158" s="79" t="s">
        <v>549</v>
      </c>
      <c r="N158" s="79" t="s">
        <v>550</v>
      </c>
      <c r="O158" s="79" t="s">
        <v>551</v>
      </c>
      <c r="P158" s="79" t="s">
        <v>552</v>
      </c>
    </row>
    <row r="159" spans="4:16" s="3" customFormat="1" ht="13">
      <c r="D159" s="78" t="s">
        <v>553</v>
      </c>
      <c r="E159" s="79" t="s">
        <v>554</v>
      </c>
      <c r="F159" s="79" t="s">
        <v>580</v>
      </c>
      <c r="G159" s="79" t="s">
        <v>581</v>
      </c>
      <c r="H159" s="79" t="s">
        <v>582</v>
      </c>
      <c r="I159" s="79" t="s">
        <v>729</v>
      </c>
      <c r="J159" s="79" t="s">
        <v>730</v>
      </c>
      <c r="K159" s="79" t="s">
        <v>753</v>
      </c>
      <c r="L159" s="79" t="s">
        <v>756</v>
      </c>
      <c r="M159" s="79" t="s">
        <v>757</v>
      </c>
      <c r="N159" s="79" t="s">
        <v>777</v>
      </c>
      <c r="O159" s="79" t="s">
        <v>784</v>
      </c>
      <c r="P159" s="79" t="s">
        <v>785</v>
      </c>
    </row>
    <row r="160" spans="4:16">
      <c r="D160" s="78" t="s">
        <v>782</v>
      </c>
      <c r="E160" s="79" t="s">
        <v>783</v>
      </c>
      <c r="F160" s="79" t="s">
        <v>974</v>
      </c>
      <c r="G160" s="79" t="s">
        <v>819</v>
      </c>
      <c r="H160" s="79" t="s">
        <v>820</v>
      </c>
      <c r="I160" s="79" t="s">
        <v>851</v>
      </c>
      <c r="J160" s="79" t="s">
        <v>852</v>
      </c>
      <c r="K160" s="79" t="s">
        <v>865</v>
      </c>
      <c r="L160" s="79" t="s">
        <v>930</v>
      </c>
      <c r="M160" s="79" t="s">
        <v>937</v>
      </c>
      <c r="N160" s="79" t="s">
        <v>938</v>
      </c>
      <c r="O160" s="79" t="s">
        <v>970</v>
      </c>
      <c r="P160" s="79" t="s">
        <v>971</v>
      </c>
    </row>
    <row r="161" spans="4:16">
      <c r="D161" s="78" t="s">
        <v>972</v>
      </c>
      <c r="E161" s="79" t="s">
        <v>973</v>
      </c>
      <c r="F161" s="79" t="s">
        <v>1049</v>
      </c>
      <c r="G161" s="79" t="s">
        <v>1050</v>
      </c>
      <c r="H161" s="79" t="s">
        <v>1065</v>
      </c>
      <c r="I161" s="79" t="s">
        <v>1096</v>
      </c>
      <c r="J161" s="79" t="s">
        <v>1097</v>
      </c>
      <c r="K161" s="79" t="s">
        <v>1098</v>
      </c>
      <c r="L161" s="79" t="s">
        <v>1120</v>
      </c>
      <c r="M161" s="79" t="s">
        <v>1121</v>
      </c>
      <c r="N161" s="79" t="s">
        <v>1165</v>
      </c>
      <c r="O161" s="79" t="s">
        <v>1166</v>
      </c>
      <c r="P161" s="79" t="s">
        <v>1167</v>
      </c>
    </row>
    <row r="162" spans="4:16">
      <c r="D162" s="78">
        <v>2025</v>
      </c>
      <c r="E162" s="79" t="s">
        <v>1168</v>
      </c>
      <c r="F162" s="79" t="s">
        <v>1169</v>
      </c>
      <c r="G162" s="79" t="s">
        <v>1170</v>
      </c>
      <c r="H162" s="79" t="s">
        <v>1171</v>
      </c>
      <c r="I162" s="79">
        <v>64.45</v>
      </c>
      <c r="J162" s="79">
        <v>71.44</v>
      </c>
      <c r="K162" s="79">
        <v>71.040000000000006</v>
      </c>
      <c r="L162" s="79">
        <v>67.87</v>
      </c>
      <c r="M162" s="79">
        <v>67.989999999999995</v>
      </c>
      <c r="N162" s="79">
        <v>64.540000000000006</v>
      </c>
      <c r="O162" s="295">
        <v>63.8</v>
      </c>
      <c r="P162" s="79">
        <v>62.54</v>
      </c>
    </row>
    <row r="163" spans="4:16">
      <c r="D163" s="78">
        <v>2026</v>
      </c>
      <c r="E163" s="295">
        <v>66.599999999999994</v>
      </c>
      <c r="F163" s="79">
        <v>71.05</v>
      </c>
      <c r="G163" s="79">
        <v>103.13</v>
      </c>
      <c r="H163" s="79">
        <v>117.29</v>
      </c>
      <c r="I163" s="79">
        <v>107.14</v>
      </c>
      <c r="J163" s="79">
        <v>85.4</v>
      </c>
      <c r="K163" s="79"/>
      <c r="L163" s="79"/>
      <c r="M163" s="79"/>
      <c r="N163" s="79"/>
      <c r="O163" s="295"/>
      <c r="P163" s="79"/>
    </row>
  </sheetData>
  <mergeCells count="19">
    <mergeCell ref="D103:S103"/>
    <mergeCell ref="D104:S104"/>
    <mergeCell ref="D14:D15"/>
    <mergeCell ref="D138:P138"/>
    <mergeCell ref="D144:P144"/>
    <mergeCell ref="D150:P150"/>
    <mergeCell ref="D156:P156"/>
    <mergeCell ref="B5:B7"/>
    <mergeCell ref="B109:B111"/>
    <mergeCell ref="D120:P120"/>
    <mergeCell ref="D126:P126"/>
    <mergeCell ref="D132:P132"/>
    <mergeCell ref="E14:E15"/>
    <mergeCell ref="F14:I14"/>
    <mergeCell ref="J14:K14"/>
    <mergeCell ref="L14:R14"/>
    <mergeCell ref="D12:I12"/>
    <mergeCell ref="D16:R16"/>
    <mergeCell ref="D102:K102"/>
  </mergeCells>
  <phoneticPr fontId="88" type="noConversion"/>
  <hyperlinks>
    <hyperlink ref="D7" r:id="rId1" xr:uid="{9F4C1C0F-BFB3-4EF9-9390-978AD5BC15E8}"/>
    <hyperlink ref="D111" r:id="rId2" xr:uid="{82958D4F-B621-418D-AD44-E3530253B686}"/>
  </hyperlinks>
  <pageMargins left="0.511811024" right="0.511811024" top="0.78740157499999996" bottom="0.78740157499999996" header="0.31496062000000002" footer="0.31496062000000002"/>
  <pageSetup paperSize="9" orientation="portrait" r:id="rId3"/>
  <ignoredErrors>
    <ignoredError sqref="D117:P157 D159 D158 E159 E158:P158 E160:E161 F159:P159 F160:P160" numberStoredAsText="1"/>
  </ignoredErrors>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383191-FA63-4EE3-B7D5-024C43BD3CDE}">
  <sheetPr>
    <pageSetUpPr fitToPage="1"/>
  </sheetPr>
  <dimension ref="B1:Q48"/>
  <sheetViews>
    <sheetView showGridLines="0" zoomScale="49" zoomScaleNormal="90" workbookViewId="0">
      <pane xSplit="3" ySplit="5" topLeftCell="D13" activePane="bottomRight" state="frozen"/>
      <selection activeCell="B30" sqref="B30"/>
      <selection pane="topRight" activeCell="B30" sqref="B30"/>
      <selection pane="bottomLeft" activeCell="B30" sqref="B30"/>
      <selection pane="bottomRight" activeCell="C20" sqref="C20"/>
    </sheetView>
  </sheetViews>
  <sheetFormatPr defaultRowHeight="14.5"/>
  <cols>
    <col min="1" max="1" width="1.81640625" customWidth="1"/>
    <col min="2" max="2" width="1.26953125" style="3" customWidth="1"/>
    <col min="3" max="3" width="27.54296875" customWidth="1"/>
    <col min="4" max="4" width="1.54296875" style="115" customWidth="1"/>
    <col min="5" max="5" width="47.453125" customWidth="1"/>
    <col min="6" max="6" width="1.54296875" style="115" customWidth="1"/>
    <col min="7" max="7" width="49" customWidth="1"/>
    <col min="8" max="8" width="1.54296875" style="115" customWidth="1"/>
    <col min="9" max="9" width="17.54296875" customWidth="1"/>
    <col min="10" max="10" width="1.54296875" style="115" customWidth="1"/>
    <col min="11" max="11" width="14.54296875" bestFit="1" customWidth="1"/>
    <col min="12" max="12" width="1.54296875" style="115" customWidth="1"/>
    <col min="13" max="13" width="55.1796875" style="127" bestFit="1" customWidth="1"/>
    <col min="14" max="14" width="1.54296875" style="115" customWidth="1"/>
    <col min="15" max="15" width="49.54296875" style="127" bestFit="1" customWidth="1"/>
  </cols>
  <sheetData>
    <row r="1" spans="2:17" s="3" customFormat="1" ht="13">
      <c r="D1" s="38"/>
      <c r="F1" s="38"/>
      <c r="H1" s="38"/>
      <c r="J1" s="38"/>
      <c r="L1" s="38"/>
      <c r="M1" s="12"/>
      <c r="N1" s="38"/>
      <c r="O1" s="12"/>
    </row>
    <row r="2" spans="2:17" s="3" customFormat="1" ht="18.5">
      <c r="D2" s="108"/>
      <c r="E2" s="421" t="s">
        <v>923</v>
      </c>
      <c r="F2" s="421"/>
      <c r="G2" s="421"/>
      <c r="H2" s="421"/>
      <c r="I2" s="422"/>
      <c r="J2" s="421"/>
      <c r="K2" s="422"/>
      <c r="L2" s="421"/>
      <c r="M2" s="421"/>
      <c r="N2" s="421"/>
      <c r="O2" s="421"/>
      <c r="P2" s="421"/>
    </row>
    <row r="3" spans="2:17" s="3" customFormat="1" ht="13">
      <c r="D3" s="109"/>
      <c r="E3" s="44"/>
      <c r="F3" s="109"/>
      <c r="G3" s="44"/>
      <c r="H3" s="109"/>
      <c r="I3" s="44"/>
      <c r="J3" s="109"/>
      <c r="K3" s="18"/>
      <c r="L3" s="109"/>
      <c r="M3" s="12"/>
      <c r="N3" s="109"/>
      <c r="O3" s="12"/>
    </row>
    <row r="4" spans="2:17" s="3" customFormat="1" ht="13">
      <c r="D4" s="38"/>
      <c r="F4" s="38"/>
      <c r="H4" s="38"/>
      <c r="J4" s="38"/>
      <c r="L4" s="38"/>
      <c r="M4" s="12"/>
      <c r="N4" s="38"/>
      <c r="O4" s="12"/>
    </row>
    <row r="5" spans="2:17" ht="43.5">
      <c r="B5"/>
      <c r="C5" s="204" t="s">
        <v>811</v>
      </c>
      <c r="D5" s="111"/>
      <c r="E5" s="112" t="s">
        <v>566</v>
      </c>
      <c r="F5" s="111"/>
      <c r="G5" s="112" t="s">
        <v>686</v>
      </c>
      <c r="H5" s="111"/>
      <c r="I5" s="112" t="s">
        <v>1099</v>
      </c>
      <c r="J5" s="111"/>
      <c r="K5" s="113" t="s">
        <v>684</v>
      </c>
      <c r="L5" s="111"/>
      <c r="M5" s="113" t="s">
        <v>567</v>
      </c>
      <c r="N5" s="111"/>
      <c r="O5" s="113" t="s">
        <v>687</v>
      </c>
    </row>
    <row r="6" spans="2:17" ht="15" thickBot="1">
      <c r="B6" s="80"/>
      <c r="D6" s="114"/>
      <c r="E6" s="25"/>
      <c r="F6" s="114"/>
      <c r="G6" s="25"/>
      <c r="H6" s="114"/>
      <c r="I6" s="25"/>
      <c r="J6" s="114"/>
      <c r="K6" s="63"/>
      <c r="L6" s="114"/>
      <c r="N6" s="114"/>
    </row>
    <row r="7" spans="2:17" ht="15.5" thickTop="1" thickBot="1">
      <c r="C7" s="98" t="s">
        <v>568</v>
      </c>
      <c r="D7" s="116"/>
      <c r="E7" s="117" t="s">
        <v>569</v>
      </c>
      <c r="F7" s="116"/>
      <c r="G7" s="117" t="s">
        <v>685</v>
      </c>
      <c r="H7" s="116"/>
      <c r="I7" s="179">
        <v>9.2499999999999999E-2</v>
      </c>
      <c r="J7" s="179"/>
      <c r="K7" s="179">
        <v>9.2499999999999999E-2</v>
      </c>
      <c r="L7" s="116"/>
      <c r="M7" s="180" t="s">
        <v>572</v>
      </c>
      <c r="N7" s="129"/>
      <c r="O7" s="197" t="s">
        <v>906</v>
      </c>
    </row>
    <row r="8" spans="2:17" ht="4.5" customHeight="1" thickTop="1" thickBot="1">
      <c r="C8" s="119"/>
      <c r="D8" s="116"/>
      <c r="E8" s="200"/>
      <c r="F8" s="116"/>
      <c r="G8" s="117"/>
      <c r="H8" s="116"/>
      <c r="I8" s="131"/>
      <c r="J8" s="131"/>
      <c r="K8" s="131"/>
      <c r="L8" s="116"/>
      <c r="M8" s="198"/>
      <c r="N8" s="129"/>
      <c r="O8" s="181"/>
    </row>
    <row r="9" spans="2:17" s="115" customFormat="1" ht="15.5" customHeight="1" thickTop="1" thickBot="1">
      <c r="B9" s="38"/>
      <c r="C9" s="184"/>
      <c r="D9" s="116"/>
      <c r="E9" s="120" t="s">
        <v>877</v>
      </c>
      <c r="F9" s="151"/>
      <c r="G9" s="194" t="s">
        <v>878</v>
      </c>
      <c r="H9" s="114"/>
      <c r="I9" s="118">
        <v>9.2499999999999999E-2</v>
      </c>
      <c r="K9" s="118">
        <v>9.2499999999999999E-2</v>
      </c>
      <c r="L9" s="116"/>
      <c r="M9" s="423" t="s">
        <v>1100</v>
      </c>
      <c r="N9" s="199"/>
      <c r="O9" s="423" t="s">
        <v>1101</v>
      </c>
      <c r="Q9"/>
    </row>
    <row r="10" spans="2:17" ht="15.5" thickTop="1" thickBot="1">
      <c r="C10" s="119"/>
      <c r="D10" s="116"/>
      <c r="E10" s="200"/>
      <c r="F10" s="116"/>
      <c r="G10" s="117"/>
      <c r="H10" s="116"/>
      <c r="I10" s="131"/>
      <c r="J10" s="131"/>
      <c r="K10" s="131"/>
      <c r="L10" s="116"/>
      <c r="M10" s="423"/>
      <c r="N10" s="129"/>
      <c r="O10" s="423"/>
    </row>
    <row r="11" spans="2:17" ht="15" thickTop="1">
      <c r="C11" s="119"/>
      <c r="D11" s="116"/>
      <c r="E11" s="120" t="s">
        <v>879</v>
      </c>
      <c r="F11" s="116"/>
      <c r="G11" s="117" t="s">
        <v>880</v>
      </c>
      <c r="H11" s="116"/>
      <c r="I11" s="132">
        <v>9.2499999999999999E-2</v>
      </c>
      <c r="J11" s="132"/>
      <c r="K11" s="132">
        <v>9.2499999999999999E-2</v>
      </c>
      <c r="L11" s="116"/>
      <c r="M11" s="423"/>
      <c r="N11" s="129"/>
      <c r="O11" s="423"/>
    </row>
    <row r="12" spans="2:17" ht="4.5" customHeight="1">
      <c r="C12" s="119"/>
      <c r="D12" s="116"/>
      <c r="E12" s="200"/>
      <c r="F12" s="116"/>
      <c r="G12" s="117"/>
      <c r="H12" s="116"/>
      <c r="I12" s="131"/>
      <c r="J12" s="131"/>
      <c r="K12" s="131"/>
      <c r="L12" s="116"/>
      <c r="M12" s="73"/>
      <c r="N12" s="129"/>
      <c r="O12" s="181"/>
    </row>
    <row r="13" spans="2:17" ht="15" thickBot="1">
      <c r="C13" s="119"/>
      <c r="D13" s="116"/>
      <c r="E13" s="200" t="s">
        <v>867</v>
      </c>
      <c r="G13" s="117" t="s">
        <v>868</v>
      </c>
      <c r="H13" s="116"/>
      <c r="I13" s="201">
        <v>9.2499999999999999E-2</v>
      </c>
      <c r="K13" s="201" t="s">
        <v>570</v>
      </c>
      <c r="L13" s="116"/>
      <c r="M13" s="73"/>
      <c r="N13" s="129"/>
      <c r="O13" s="181"/>
    </row>
    <row r="14" spans="2:17" ht="4.5" customHeight="1" thickTop="1" thickBot="1">
      <c r="C14" s="119"/>
      <c r="D14" s="116"/>
      <c r="E14" s="200"/>
      <c r="F14" s="116"/>
      <c r="G14" s="117"/>
      <c r="H14" s="116"/>
      <c r="I14" s="131"/>
      <c r="J14" s="131"/>
      <c r="K14" s="131"/>
      <c r="L14" s="116"/>
      <c r="M14" s="73"/>
      <c r="N14" s="129"/>
      <c r="O14" s="181"/>
    </row>
    <row r="15" spans="2:17" ht="15.5" thickTop="1" thickBot="1">
      <c r="C15" s="119"/>
      <c r="D15" s="116"/>
      <c r="E15" s="120" t="s">
        <v>866</v>
      </c>
      <c r="G15" s="117" t="s">
        <v>873</v>
      </c>
      <c r="H15" s="116"/>
      <c r="I15" s="201">
        <v>9.2499999999999999E-2</v>
      </c>
      <c r="K15" s="118">
        <v>9.2499999999999999E-2</v>
      </c>
      <c r="L15" s="116"/>
      <c r="M15" s="180" t="s">
        <v>572</v>
      </c>
      <c r="N15" s="129"/>
      <c r="O15" s="197" t="s">
        <v>906</v>
      </c>
    </row>
    <row r="16" spans="2:17" ht="4.5" customHeight="1" thickTop="1" thickBot="1">
      <c r="C16" s="119"/>
      <c r="D16" s="116"/>
      <c r="E16" s="200"/>
      <c r="F16" s="116"/>
      <c r="G16" s="117"/>
      <c r="H16" s="116"/>
      <c r="I16" s="131"/>
      <c r="J16" s="131"/>
      <c r="K16" s="131"/>
      <c r="L16" s="116"/>
      <c r="M16" s="198"/>
      <c r="N16" s="129"/>
      <c r="O16" s="181"/>
    </row>
    <row r="17" spans="2:15" ht="15.5" thickTop="1" thickBot="1">
      <c r="C17" s="119"/>
      <c r="D17" s="116"/>
      <c r="E17" s="120" t="s">
        <v>869</v>
      </c>
      <c r="G17" s="117" t="s">
        <v>870</v>
      </c>
      <c r="H17" s="121"/>
      <c r="I17" s="201" t="s">
        <v>570</v>
      </c>
      <c r="K17" s="131" t="s">
        <v>1151</v>
      </c>
      <c r="L17" s="116"/>
      <c r="M17" s="180" t="s">
        <v>1152</v>
      </c>
      <c r="N17" s="129"/>
      <c r="O17" s="180" t="s">
        <v>1153</v>
      </c>
    </row>
    <row r="18" spans="2:15" ht="4.5" customHeight="1" thickTop="1" thickBot="1">
      <c r="C18" s="119"/>
      <c r="D18" s="116"/>
      <c r="E18" s="200"/>
      <c r="F18" s="116"/>
      <c r="G18" s="117"/>
      <c r="H18" s="116"/>
      <c r="I18" s="201"/>
      <c r="J18" s="131"/>
      <c r="K18" s="131"/>
      <c r="L18" s="116"/>
      <c r="M18" s="198"/>
      <c r="N18" s="129"/>
      <c r="O18" s="181"/>
    </row>
    <row r="19" spans="2:15" ht="15.5" thickTop="1" thickBot="1">
      <c r="C19" s="119"/>
      <c r="D19" s="116"/>
      <c r="E19" s="120" t="s">
        <v>1102</v>
      </c>
      <c r="F19" s="121"/>
      <c r="G19" s="117" t="s">
        <v>1103</v>
      </c>
      <c r="H19" s="121"/>
      <c r="I19" s="201" t="s">
        <v>570</v>
      </c>
      <c r="J19" s="132"/>
      <c r="K19" s="135">
        <v>0</v>
      </c>
      <c r="L19" s="116"/>
      <c r="M19" s="180" t="s">
        <v>871</v>
      </c>
      <c r="N19" s="129"/>
      <c r="O19" s="180" t="s">
        <v>872</v>
      </c>
    </row>
    <row r="20" spans="2:15" ht="15.5" thickTop="1" thickBot="1">
      <c r="C20" s="119"/>
      <c r="D20" s="116"/>
      <c r="E20" s="120" t="s">
        <v>1104</v>
      </c>
      <c r="F20" s="121"/>
      <c r="G20" s="117" t="s">
        <v>1105</v>
      </c>
      <c r="H20" s="121"/>
      <c r="I20" s="201" t="s">
        <v>570</v>
      </c>
      <c r="J20" s="132"/>
      <c r="K20" s="131" t="s">
        <v>1106</v>
      </c>
      <c r="L20" s="116"/>
      <c r="M20" s="180" t="s">
        <v>1154</v>
      </c>
      <c r="N20" s="129"/>
      <c r="O20" s="180" t="s">
        <v>1155</v>
      </c>
    </row>
    <row r="21" spans="2:15" ht="15.5" thickTop="1" thickBot="1">
      <c r="C21" s="119"/>
      <c r="D21" s="116"/>
      <c r="E21" s="200"/>
      <c r="F21" s="116"/>
      <c r="G21" s="200"/>
      <c r="H21" s="116"/>
      <c r="I21" s="131"/>
      <c r="J21" s="131"/>
      <c r="K21" s="131"/>
      <c r="L21" s="116"/>
      <c r="M21" s="12"/>
      <c r="N21" s="116"/>
      <c r="O21" s="12"/>
    </row>
    <row r="22" spans="2:15" ht="15" thickBot="1">
      <c r="D22" s="121"/>
      <c r="E22" s="205"/>
      <c r="F22" s="206"/>
      <c r="G22" s="205"/>
      <c r="H22" s="206"/>
      <c r="I22" s="207"/>
      <c r="J22" s="206"/>
      <c r="K22" s="207"/>
      <c r="L22" s="206"/>
      <c r="M22" s="208"/>
      <c r="N22" s="206"/>
      <c r="O22" s="208"/>
    </row>
    <row r="23" spans="2:15" ht="15.5" thickTop="1" thickBot="1">
      <c r="C23" s="98" t="s">
        <v>571</v>
      </c>
      <c r="D23" s="116"/>
      <c r="E23" s="117" t="s">
        <v>569</v>
      </c>
      <c r="F23" s="116"/>
      <c r="G23" s="117" t="s">
        <v>685</v>
      </c>
      <c r="H23" s="116"/>
      <c r="I23" s="247">
        <v>0</v>
      </c>
      <c r="J23" s="116"/>
      <c r="K23" s="123">
        <v>0</v>
      </c>
      <c r="L23" s="116"/>
      <c r="M23" s="180" t="s">
        <v>1107</v>
      </c>
      <c r="N23" s="129"/>
      <c r="O23" s="197" t="s">
        <v>1108</v>
      </c>
    </row>
    <row r="24" spans="2:15" ht="4.5" customHeight="1" thickTop="1" thickBot="1">
      <c r="C24" s="119"/>
      <c r="D24" s="116"/>
      <c r="E24" s="200"/>
      <c r="F24" s="116"/>
      <c r="G24" s="117"/>
      <c r="H24" s="116"/>
      <c r="I24" s="131"/>
      <c r="J24" s="131"/>
      <c r="K24" s="131"/>
      <c r="L24" s="116"/>
      <c r="M24" s="198"/>
      <c r="N24" s="129"/>
      <c r="O24" s="181"/>
    </row>
    <row r="25" spans="2:15" s="115" customFormat="1" ht="15.5" thickTop="1" thickBot="1">
      <c r="B25" s="38"/>
      <c r="C25" s="185"/>
      <c r="D25" s="116"/>
      <c r="E25" s="120" t="s">
        <v>877</v>
      </c>
      <c r="F25" s="151"/>
      <c r="G25" s="194" t="s">
        <v>878</v>
      </c>
      <c r="H25" s="114"/>
      <c r="I25" s="195" t="s">
        <v>907</v>
      </c>
      <c r="J25" s="118"/>
      <c r="K25" s="123">
        <v>0.2</v>
      </c>
      <c r="L25" s="116"/>
      <c r="M25" s="423" t="s">
        <v>1156</v>
      </c>
      <c r="N25" s="116"/>
      <c r="O25" s="423" t="s">
        <v>1194</v>
      </c>
    </row>
    <row r="26" spans="2:15" ht="15.5" thickTop="1" thickBot="1">
      <c r="C26" s="119"/>
      <c r="D26" s="116"/>
      <c r="E26" s="200"/>
      <c r="F26" s="116"/>
      <c r="G26" s="117"/>
      <c r="H26" s="116"/>
      <c r="I26" s="131"/>
      <c r="J26" s="131"/>
      <c r="K26" s="131"/>
      <c r="L26" s="116"/>
      <c r="M26" s="423"/>
      <c r="N26" s="129"/>
      <c r="O26" s="423"/>
    </row>
    <row r="27" spans="2:15" ht="15.5" thickTop="1" thickBot="1">
      <c r="D27" s="114"/>
      <c r="E27" s="120" t="s">
        <v>879</v>
      </c>
      <c r="F27" s="116"/>
      <c r="G27" s="117" t="s">
        <v>880</v>
      </c>
      <c r="H27" s="116"/>
      <c r="I27" s="195" t="s">
        <v>907</v>
      </c>
      <c r="J27" s="183"/>
      <c r="K27" s="131" t="s">
        <v>1157</v>
      </c>
      <c r="L27" s="114"/>
      <c r="M27" s="423"/>
      <c r="N27" s="114"/>
      <c r="O27" s="423"/>
    </row>
    <row r="28" spans="2:15" ht="4.5" customHeight="1" thickTop="1" thickBot="1">
      <c r="C28" s="119"/>
      <c r="D28" s="116"/>
      <c r="E28" s="200"/>
      <c r="F28" s="116"/>
      <c r="G28" s="117"/>
      <c r="H28" s="116"/>
      <c r="I28" s="131"/>
      <c r="J28" s="131"/>
      <c r="K28" s="131"/>
      <c r="L28" s="116"/>
      <c r="M28" s="196"/>
      <c r="N28" s="129"/>
      <c r="O28" s="181"/>
    </row>
    <row r="29" spans="2:15" ht="15.5" thickTop="1" thickBot="1">
      <c r="C29" s="119"/>
      <c r="D29" s="116"/>
      <c r="E29" s="120" t="s">
        <v>867</v>
      </c>
      <c r="G29" s="117" t="s">
        <v>868</v>
      </c>
      <c r="H29" s="116"/>
      <c r="I29" s="248">
        <v>0.20499999999999999</v>
      </c>
      <c r="J29" s="118"/>
      <c r="K29" s="179" t="s">
        <v>570</v>
      </c>
      <c r="L29" s="116"/>
      <c r="M29" s="128"/>
      <c r="N29" s="116"/>
      <c r="O29" s="128"/>
    </row>
    <row r="30" spans="2:15" ht="4.5" customHeight="1" thickTop="1" thickBot="1">
      <c r="C30" s="119"/>
      <c r="D30" s="116"/>
      <c r="E30" s="200"/>
      <c r="F30" s="116"/>
      <c r="G30" s="117"/>
      <c r="H30" s="116"/>
      <c r="I30" s="131"/>
      <c r="J30" s="131"/>
      <c r="K30" s="131"/>
      <c r="L30" s="116"/>
      <c r="M30" s="196"/>
      <c r="N30" s="129"/>
      <c r="O30" s="181"/>
    </row>
    <row r="31" spans="2:15" ht="15.5" thickTop="1" thickBot="1">
      <c r="C31" s="119"/>
      <c r="D31" s="116"/>
      <c r="E31" s="120" t="s">
        <v>869</v>
      </c>
      <c r="G31" s="117" t="s">
        <v>870</v>
      </c>
      <c r="H31" s="121"/>
      <c r="I31" s="179" t="s">
        <v>570</v>
      </c>
      <c r="J31" s="118"/>
      <c r="K31" s="123">
        <v>0.2</v>
      </c>
      <c r="L31" s="116"/>
      <c r="M31" s="12"/>
      <c r="N31" s="116"/>
      <c r="O31" s="181"/>
    </row>
    <row r="32" spans="2:15" ht="4.5" customHeight="1" thickTop="1" thickBot="1">
      <c r="C32" s="119"/>
      <c r="D32" s="116"/>
      <c r="E32" s="200"/>
      <c r="F32" s="116"/>
      <c r="G32" s="117"/>
      <c r="H32" s="116"/>
      <c r="I32" s="131"/>
      <c r="J32" s="131"/>
      <c r="K32" s="131"/>
      <c r="L32" s="116"/>
      <c r="M32" s="196"/>
      <c r="N32" s="129"/>
      <c r="O32" s="181"/>
    </row>
    <row r="33" spans="3:15" ht="15.5" thickTop="1" thickBot="1">
      <c r="C33" s="10"/>
      <c r="D33" s="116"/>
      <c r="E33" s="120" t="s">
        <v>876</v>
      </c>
      <c r="F33" s="121"/>
      <c r="G33" s="117" t="s">
        <v>873</v>
      </c>
      <c r="H33" s="121"/>
      <c r="I33" s="195" t="s">
        <v>907</v>
      </c>
      <c r="J33" s="118"/>
      <c r="K33" s="123">
        <v>0.2</v>
      </c>
      <c r="L33" s="116"/>
      <c r="M33" s="12" t="s">
        <v>1195</v>
      </c>
      <c r="N33" s="116"/>
      <c r="O33" s="12" t="s">
        <v>1196</v>
      </c>
    </row>
    <row r="34" spans="3:15" ht="4.5" customHeight="1" thickTop="1" thickBot="1">
      <c r="C34" s="119"/>
      <c r="D34" s="116"/>
      <c r="E34" s="200"/>
      <c r="F34" s="116"/>
      <c r="G34" s="117"/>
      <c r="H34" s="116"/>
      <c r="I34" s="131"/>
      <c r="J34" s="131"/>
      <c r="K34" s="131"/>
      <c r="L34" s="116"/>
      <c r="M34" s="196"/>
      <c r="N34" s="129"/>
      <c r="O34" s="181"/>
    </row>
    <row r="35" spans="3:15" ht="15.5" thickTop="1" thickBot="1">
      <c r="C35" s="118"/>
      <c r="D35" s="121"/>
      <c r="E35" s="120" t="s">
        <v>874</v>
      </c>
      <c r="F35" s="121"/>
      <c r="G35" s="117" t="s">
        <v>875</v>
      </c>
      <c r="H35" s="121"/>
      <c r="I35" s="179" t="s">
        <v>570</v>
      </c>
      <c r="J35" s="131"/>
      <c r="K35" s="131" t="s">
        <v>1267</v>
      </c>
      <c r="L35" s="132"/>
      <c r="M35" s="180" t="s">
        <v>1158</v>
      </c>
      <c r="N35" s="129"/>
      <c r="O35" s="180" t="s">
        <v>1159</v>
      </c>
    </row>
    <row r="36" spans="3:15" ht="15.5" thickTop="1" thickBot="1">
      <c r="C36" s="119"/>
      <c r="D36" s="116"/>
      <c r="E36" s="200"/>
      <c r="F36" s="116"/>
      <c r="G36" s="200"/>
      <c r="H36" s="116"/>
      <c r="I36" s="131"/>
      <c r="J36" s="131"/>
      <c r="K36" s="131"/>
      <c r="L36" s="116"/>
      <c r="M36" s="12"/>
      <c r="N36" s="116"/>
      <c r="O36" s="12"/>
    </row>
    <row r="37" spans="3:15">
      <c r="D37" s="121"/>
      <c r="E37" s="205"/>
      <c r="F37" s="206"/>
      <c r="G37" s="205"/>
      <c r="H37" s="206"/>
      <c r="I37" s="207"/>
      <c r="J37" s="206"/>
      <c r="K37" s="207"/>
      <c r="L37" s="206"/>
      <c r="M37" s="208"/>
      <c r="N37" s="206"/>
      <c r="O37" s="208"/>
    </row>
    <row r="38" spans="3:15" ht="16.5" customHeight="1">
      <c r="D38" s="125"/>
      <c r="E38" s="126" t="s">
        <v>908</v>
      </c>
      <c r="F38" s="125"/>
      <c r="G38" s="126"/>
      <c r="H38" s="125"/>
      <c r="I38" s="21"/>
      <c r="J38" s="125"/>
      <c r="K38" s="21"/>
      <c r="L38" s="125"/>
      <c r="N38" s="125"/>
    </row>
    <row r="39" spans="3:15">
      <c r="D39" s="125"/>
      <c r="E39" s="126" t="s">
        <v>926</v>
      </c>
      <c r="F39" s="125"/>
      <c r="G39" s="126"/>
      <c r="H39" s="125"/>
      <c r="I39" s="21"/>
      <c r="J39" s="125"/>
      <c r="K39" s="21"/>
      <c r="L39" s="125"/>
      <c r="N39" s="125"/>
    </row>
    <row r="40" spans="3:15">
      <c r="D40" s="125"/>
      <c r="E40" s="126" t="s">
        <v>927</v>
      </c>
      <c r="F40" s="125"/>
      <c r="G40" s="126"/>
      <c r="H40" s="125"/>
      <c r="I40" s="21"/>
      <c r="J40" s="125"/>
      <c r="K40" s="21"/>
      <c r="L40" s="125"/>
      <c r="N40" s="125"/>
    </row>
    <row r="41" spans="3:15" ht="15" thickBot="1">
      <c r="C41" s="209"/>
      <c r="D41" s="122"/>
      <c r="E41" s="133"/>
      <c r="F41" s="122"/>
      <c r="G41" s="133"/>
      <c r="H41" s="122"/>
      <c r="I41" s="134"/>
      <c r="J41" s="134"/>
      <c r="K41" s="134"/>
      <c r="L41" s="122"/>
      <c r="M41" s="130"/>
      <c r="N41" s="122"/>
      <c r="O41" s="130"/>
    </row>
    <row r="42" spans="3:15">
      <c r="E42" s="116"/>
      <c r="F42" s="116"/>
      <c r="G42" s="116"/>
      <c r="H42" s="116"/>
      <c r="I42" s="124"/>
      <c r="J42" s="124"/>
      <c r="K42" s="124"/>
    </row>
    <row r="43" spans="3:15" ht="18.5">
      <c r="C43" s="204" t="s">
        <v>925</v>
      </c>
      <c r="E43" s="112" t="s">
        <v>928</v>
      </c>
      <c r="F43" s="111"/>
      <c r="G43" s="112" t="s">
        <v>929</v>
      </c>
    </row>
    <row r="44" spans="3:15" ht="19" thickBot="1">
      <c r="C44" s="204"/>
      <c r="E44" s="126"/>
    </row>
    <row r="45" spans="3:15" ht="15.5" thickTop="1" thickBot="1">
      <c r="C45" s="98" t="s">
        <v>924</v>
      </c>
      <c r="E45" s="120" t="s">
        <v>931</v>
      </c>
      <c r="G45" t="s">
        <v>932</v>
      </c>
    </row>
    <row r="46" spans="3:15" ht="15.5" thickTop="1" thickBot="1">
      <c r="E46" s="120" t="s">
        <v>939</v>
      </c>
      <c r="G46" t="s">
        <v>932</v>
      </c>
    </row>
    <row r="47" spans="3:15" ht="15.5" thickTop="1" thickBot="1">
      <c r="E47" s="120" t="s">
        <v>940</v>
      </c>
      <c r="G47" t="s">
        <v>932</v>
      </c>
    </row>
    <row r="48" spans="3:15" ht="15" thickTop="1">
      <c r="E48" s="120"/>
    </row>
  </sheetData>
  <mergeCells count="5">
    <mergeCell ref="E2:P2"/>
    <mergeCell ref="M9:M11"/>
    <mergeCell ref="O9:O11"/>
    <mergeCell ref="M25:M27"/>
    <mergeCell ref="O25:O27"/>
  </mergeCells>
  <pageMargins left="0.511811024" right="0.511811024" top="0.78740157499999996" bottom="0.78740157499999996" header="0.31496062000000002" footer="0.31496062000000002"/>
  <pageSetup paperSize="9" scale="56"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A9EA1-8BBF-4CEE-A4D3-1EF003D1994B}">
  <dimension ref="B2:Q18"/>
  <sheetViews>
    <sheetView showGridLines="0" zoomScaleNormal="100" workbookViewId="0">
      <selection activeCell="B30" sqref="B30"/>
    </sheetView>
  </sheetViews>
  <sheetFormatPr defaultColWidth="9.1796875" defaultRowHeight="14.5"/>
  <cols>
    <col min="1" max="1" width="2.54296875" customWidth="1"/>
    <col min="2" max="2" width="17.1796875" customWidth="1"/>
    <col min="3" max="3" width="6.26953125" customWidth="1"/>
    <col min="4" max="4" width="2.81640625" customWidth="1"/>
    <col min="5" max="5" width="2.54296875" customWidth="1"/>
    <col min="6" max="6" width="9.81640625" customWidth="1"/>
    <col min="7" max="7" width="1.7265625" customWidth="1"/>
    <col min="9" max="9" width="1.7265625" customWidth="1"/>
    <col min="11" max="11" width="1.7265625" customWidth="1"/>
    <col min="13" max="13" width="1.7265625" customWidth="1"/>
    <col min="15" max="15" width="4" customWidth="1"/>
    <col min="16" max="16" width="4.81640625" customWidth="1"/>
    <col min="17" max="17" width="24.453125" customWidth="1"/>
  </cols>
  <sheetData>
    <row r="2" spans="2:17" ht="18.5">
      <c r="E2" s="43" t="s">
        <v>754</v>
      </c>
    </row>
    <row r="3" spans="2:17">
      <c r="C3" s="44"/>
    </row>
    <row r="5" spans="2:17" s="3" customFormat="1" ht="13">
      <c r="F5" s="178"/>
      <c r="G5" s="178"/>
      <c r="H5" s="178"/>
      <c r="I5" s="178"/>
      <c r="J5" s="178"/>
      <c r="K5" s="178"/>
      <c r="L5" s="178"/>
      <c r="M5" s="178"/>
      <c r="N5" s="178"/>
    </row>
    <row r="6" spans="2:17" s="3" customFormat="1" ht="13">
      <c r="F6" s="168">
        <v>2025</v>
      </c>
      <c r="G6" s="152"/>
      <c r="H6" s="168">
        <v>2026</v>
      </c>
      <c r="I6" s="152"/>
      <c r="J6" s="168">
        <v>2027</v>
      </c>
      <c r="K6" s="152"/>
      <c r="L6" s="168">
        <v>2028</v>
      </c>
      <c r="M6" s="152"/>
      <c r="N6" s="168" t="s">
        <v>1173</v>
      </c>
      <c r="Q6" s="172" t="s">
        <v>861</v>
      </c>
    </row>
    <row r="7" spans="2:17" s="3" customFormat="1" ht="13">
      <c r="B7" s="153" t="s">
        <v>734</v>
      </c>
      <c r="F7" s="154">
        <v>1100</v>
      </c>
      <c r="H7" s="154">
        <v>1000</v>
      </c>
      <c r="J7" s="154">
        <v>0</v>
      </c>
      <c r="L7" s="154">
        <v>0</v>
      </c>
      <c r="N7" s="154">
        <v>0</v>
      </c>
      <c r="Q7" s="3" t="s">
        <v>798</v>
      </c>
    </row>
    <row r="8" spans="2:17" s="3" customFormat="1" ht="13">
      <c r="B8" s="153" t="s">
        <v>735</v>
      </c>
      <c r="F8" s="155">
        <v>80</v>
      </c>
      <c r="H8" s="155">
        <v>6</v>
      </c>
      <c r="J8" s="155">
        <v>0</v>
      </c>
      <c r="L8" s="155">
        <v>0</v>
      </c>
      <c r="N8" s="155">
        <v>0</v>
      </c>
      <c r="Q8" s="3" t="s">
        <v>801</v>
      </c>
    </row>
    <row r="9" spans="2:17" s="3" customFormat="1" ht="13">
      <c r="B9" s="153" t="s">
        <v>736</v>
      </c>
      <c r="F9" s="155">
        <v>0</v>
      </c>
      <c r="H9" s="155">
        <v>0</v>
      </c>
      <c r="J9" s="155">
        <v>0</v>
      </c>
      <c r="L9" s="155">
        <v>0</v>
      </c>
      <c r="N9" s="155">
        <v>0</v>
      </c>
      <c r="Q9" s="3" t="s">
        <v>799</v>
      </c>
    </row>
    <row r="10" spans="2:17" s="3" customFormat="1" ht="13">
      <c r="B10" s="153" t="s">
        <v>737</v>
      </c>
      <c r="F10" s="155">
        <v>0</v>
      </c>
      <c r="H10" s="155">
        <v>0</v>
      </c>
      <c r="J10" s="155">
        <v>0</v>
      </c>
      <c r="L10" s="155">
        <v>0</v>
      </c>
      <c r="N10" s="155">
        <v>0</v>
      </c>
      <c r="Q10" s="3" t="s">
        <v>800</v>
      </c>
    </row>
    <row r="11" spans="2:17" s="3" customFormat="1" ht="13">
      <c r="B11" s="153" t="s">
        <v>760</v>
      </c>
      <c r="F11" s="155">
        <v>0</v>
      </c>
      <c r="H11" s="155">
        <v>80</v>
      </c>
      <c r="J11" s="155">
        <v>0</v>
      </c>
      <c r="L11" s="155">
        <v>0</v>
      </c>
      <c r="N11" s="155">
        <v>0</v>
      </c>
      <c r="Q11" s="3" t="s">
        <v>799</v>
      </c>
    </row>
    <row r="12" spans="2:17" s="3" customFormat="1" ht="13">
      <c r="B12" s="153" t="s">
        <v>761</v>
      </c>
      <c r="F12" s="155">
        <v>0</v>
      </c>
      <c r="H12" s="155">
        <v>0</v>
      </c>
      <c r="J12" s="155">
        <v>0</v>
      </c>
      <c r="L12" s="155">
        <v>0</v>
      </c>
      <c r="N12" s="155">
        <v>0</v>
      </c>
      <c r="Q12" s="3" t="s">
        <v>800</v>
      </c>
    </row>
    <row r="13" spans="2:17" s="3" customFormat="1" ht="13">
      <c r="B13" s="153" t="s">
        <v>781</v>
      </c>
      <c r="F13" s="155">
        <v>50</v>
      </c>
      <c r="H13" s="155">
        <v>44</v>
      </c>
      <c r="J13" s="155">
        <v>71</v>
      </c>
      <c r="L13" s="155">
        <v>71</v>
      </c>
      <c r="N13" s="155">
        <v>71</v>
      </c>
      <c r="Q13" s="3" t="s">
        <v>801</v>
      </c>
    </row>
    <row r="14" spans="2:17" s="3" customFormat="1" ht="13">
      <c r="B14" s="153" t="s">
        <v>860</v>
      </c>
      <c r="F14" s="155">
        <v>250</v>
      </c>
      <c r="H14" s="155">
        <v>215</v>
      </c>
      <c r="J14" s="155">
        <v>215</v>
      </c>
      <c r="L14" s="155">
        <v>215</v>
      </c>
      <c r="N14" s="155">
        <v>215</v>
      </c>
      <c r="Q14" s="3" t="s">
        <v>801</v>
      </c>
    </row>
    <row r="15" spans="2:17" s="3" customFormat="1" ht="6" customHeight="1" thickBot="1">
      <c r="F15" s="155"/>
      <c r="H15" s="155"/>
      <c r="J15" s="155"/>
      <c r="L15" s="155"/>
      <c r="N15" s="155"/>
    </row>
    <row r="16" spans="2:17" s="3" customFormat="1" ht="13.5" thickBot="1">
      <c r="B16" s="156" t="s">
        <v>555</v>
      </c>
      <c r="F16" s="62">
        <f>SUM(F7:F14)</f>
        <v>1480</v>
      </c>
      <c r="G16" s="157"/>
      <c r="H16" s="62">
        <f>SUM(H7:H14)</f>
        <v>1345</v>
      </c>
      <c r="I16" s="157"/>
      <c r="J16" s="62">
        <f>SUM(J7:J14)</f>
        <v>286</v>
      </c>
      <c r="K16" s="157"/>
      <c r="L16" s="62">
        <f>SUM(L7:L14)</f>
        <v>286</v>
      </c>
      <c r="M16" s="157"/>
      <c r="N16" s="62">
        <f>SUM(N7:N14)</f>
        <v>286</v>
      </c>
    </row>
    <row r="18" spans="2:2">
      <c r="B18" s="153"/>
    </row>
  </sheetData>
  <pageMargins left="0.511811024" right="0.511811024" top="0.78740157499999996" bottom="0.78740157499999996" header="0.31496062000000002" footer="0.31496062000000002"/>
  <pageSetup paperSize="9" orientation="portrait" r:id="rId1"/>
  <ignoredErrors>
    <ignoredError sqref="K16:L16 N16 F16:H16" formulaRange="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5731DB-8414-45D0-9A5E-3D3C9CAB8537}">
  <dimension ref="C2:Z18"/>
  <sheetViews>
    <sheetView showGridLines="0" zoomScaleNormal="100" workbookViewId="0">
      <selection activeCell="B30" sqref="B30"/>
    </sheetView>
  </sheetViews>
  <sheetFormatPr defaultColWidth="9.1796875" defaultRowHeight="14.5"/>
  <cols>
    <col min="1" max="1" width="2.54296875" customWidth="1"/>
    <col min="2" max="2" width="5.26953125" bestFit="1" customWidth="1"/>
    <col min="3" max="3" width="11.26953125" customWidth="1"/>
    <col min="4" max="4" width="2.81640625" customWidth="1"/>
    <col min="5" max="5" width="2.54296875" customWidth="1"/>
    <col min="6" max="6" width="13.26953125" customWidth="1"/>
    <col min="7" max="7" width="12.453125" customWidth="1"/>
    <col min="8" max="8" width="9.81640625" customWidth="1"/>
    <col min="9" max="9" width="1.7265625" customWidth="1"/>
    <col min="10" max="10" width="13" customWidth="1"/>
    <col min="11" max="11" width="1.7265625" customWidth="1"/>
    <col min="12" max="12" width="9.81640625" hidden="1" customWidth="1"/>
    <col min="13" max="13" width="1.7265625" hidden="1" customWidth="1"/>
    <col min="14" max="14" width="9.81640625" customWidth="1"/>
    <col min="15" max="15" width="1.7265625" customWidth="1"/>
    <col min="16" max="16" width="9.81640625" customWidth="1"/>
    <col min="17" max="17" width="1.7265625" customWidth="1"/>
    <col min="18" max="18" width="9.81640625" customWidth="1"/>
    <col min="19" max="19" width="1.7265625" customWidth="1"/>
    <col min="20" max="20" width="9.81640625" customWidth="1"/>
    <col min="21" max="21" width="1.7265625" customWidth="1"/>
    <col min="23" max="23" width="1.7265625" customWidth="1"/>
    <col min="26" max="26" width="12.54296875" bestFit="1" customWidth="1"/>
  </cols>
  <sheetData>
    <row r="2" spans="3:26" ht="18.5">
      <c r="G2" s="43" t="s">
        <v>960</v>
      </c>
    </row>
    <row r="3" spans="3:26">
      <c r="C3" s="44"/>
    </row>
    <row r="7" spans="3:26">
      <c r="C7" s="216"/>
      <c r="D7" s="217"/>
      <c r="E7" s="217"/>
      <c r="F7" s="217"/>
      <c r="G7" s="217"/>
      <c r="H7" s="217"/>
      <c r="I7" s="217"/>
      <c r="J7" s="217"/>
      <c r="K7" s="218"/>
    </row>
    <row r="8" spans="3:26">
      <c r="C8" s="238"/>
      <c r="D8" s="174" t="s">
        <v>961</v>
      </c>
      <c r="E8" s="174"/>
      <c r="H8" s="228">
        <v>26.8081</v>
      </c>
      <c r="K8" s="239"/>
    </row>
    <row r="9" spans="3:26" ht="4.5" customHeight="1">
      <c r="C9" s="238"/>
      <c r="H9" s="228"/>
      <c r="K9" s="239"/>
    </row>
    <row r="10" spans="3:26" ht="17.25" customHeight="1">
      <c r="C10" s="238"/>
      <c r="D10" s="174" t="s">
        <v>963</v>
      </c>
      <c r="H10" s="228">
        <v>37.302158675922577</v>
      </c>
      <c r="K10" s="239"/>
    </row>
    <row r="11" spans="3:26" ht="4.5" customHeight="1">
      <c r="C11" s="238"/>
      <c r="H11" s="228"/>
      <c r="K11" s="239"/>
    </row>
    <row r="12" spans="3:26">
      <c r="C12" s="238"/>
      <c r="D12" s="174" t="s">
        <v>975</v>
      </c>
      <c r="H12" s="228">
        <v>6.2896999999999998</v>
      </c>
      <c r="K12" s="239"/>
    </row>
    <row r="13" spans="3:26" ht="4.5" customHeight="1">
      <c r="C13" s="238"/>
      <c r="H13" s="228"/>
      <c r="K13" s="239"/>
    </row>
    <row r="14" spans="3:26">
      <c r="C14" s="238"/>
      <c r="D14" s="174" t="s">
        <v>976</v>
      </c>
      <c r="H14" s="228">
        <v>6.2896999999999998</v>
      </c>
      <c r="K14" s="239"/>
    </row>
    <row r="15" spans="3:26" ht="4.5" customHeight="1">
      <c r="C15" s="238"/>
      <c r="H15" s="228"/>
      <c r="K15" s="239"/>
    </row>
    <row r="16" spans="3:26">
      <c r="C16" s="238"/>
      <c r="D16" s="174" t="s">
        <v>962</v>
      </c>
      <c r="E16" s="174"/>
      <c r="H16" s="228">
        <v>5.6150000000000002</v>
      </c>
      <c r="K16" s="239"/>
      <c r="Z16" s="240"/>
    </row>
    <row r="17" spans="3:26">
      <c r="C17" s="219"/>
      <c r="D17" s="220"/>
      <c r="E17" s="220"/>
      <c r="F17" s="220"/>
      <c r="G17" s="220"/>
      <c r="H17" s="220"/>
      <c r="I17" s="220"/>
      <c r="J17" s="220"/>
      <c r="K17" s="221"/>
    </row>
    <row r="18" spans="3:26">
      <c r="Z18" s="192"/>
    </row>
  </sheetData>
  <pageMargins left="0.511811024" right="0.511811024" top="0.78740157499999996" bottom="0.78740157499999996" header="0.31496062000000002" footer="0.31496062000000002"/>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0D17FF-B897-47F5-A8BA-7DC7872523ED}">
  <dimension ref="C2:O42"/>
  <sheetViews>
    <sheetView showGridLines="0" workbookViewId="0"/>
  </sheetViews>
  <sheetFormatPr defaultColWidth="9.1796875" defaultRowHeight="14.5"/>
  <cols>
    <col min="1" max="1" width="2.54296875" customWidth="1"/>
    <col min="2" max="2" width="17.1796875" customWidth="1"/>
    <col min="3" max="3" width="6.26953125" customWidth="1"/>
    <col min="4" max="4" width="2.81640625" customWidth="1"/>
    <col min="5" max="5" width="2.54296875" customWidth="1"/>
    <col min="6" max="6" width="18.7265625" customWidth="1"/>
    <col min="7" max="8" width="15" customWidth="1"/>
    <col min="9" max="9" width="13.453125" customWidth="1"/>
    <col min="10" max="10" width="4.81640625" customWidth="1"/>
    <col min="12" max="12" width="17.26953125" customWidth="1"/>
    <col min="15" max="15" width="20.453125" customWidth="1"/>
  </cols>
  <sheetData>
    <row r="2" spans="3:15" ht="18.5">
      <c r="E2" s="43" t="s">
        <v>1009</v>
      </c>
    </row>
    <row r="3" spans="3:15">
      <c r="C3" s="44"/>
    </row>
    <row r="5" spans="3:15" s="3" customFormat="1" ht="17.25" customHeight="1">
      <c r="F5" s="98" t="s">
        <v>1263</v>
      </c>
      <c r="G5" s="98" t="s">
        <v>1010</v>
      </c>
      <c r="H5" s="98" t="s">
        <v>1011</v>
      </c>
      <c r="L5" s="98" t="s">
        <v>1131</v>
      </c>
      <c r="M5" s="98" t="s">
        <v>1010</v>
      </c>
      <c r="N5" s="424" t="s">
        <v>1031</v>
      </c>
      <c r="O5" s="425"/>
    </row>
    <row r="6" spans="3:15" s="3" customFormat="1" ht="25.5" customHeight="1">
      <c r="F6" s="104"/>
      <c r="G6" s="104" t="s">
        <v>1012</v>
      </c>
      <c r="H6" s="104" t="s">
        <v>1013</v>
      </c>
      <c r="L6" s="104"/>
      <c r="M6" s="104" t="s">
        <v>1012</v>
      </c>
      <c r="N6" s="104" t="s">
        <v>1032</v>
      </c>
      <c r="O6" s="104" t="s">
        <v>1033</v>
      </c>
    </row>
    <row r="7" spans="3:15" s="3" customFormat="1" ht="13">
      <c r="F7" s="12" t="s">
        <v>1014</v>
      </c>
      <c r="G7" s="226">
        <v>512</v>
      </c>
      <c r="H7" s="227">
        <v>59.29</v>
      </c>
      <c r="L7" s="12" t="s">
        <v>1027</v>
      </c>
      <c r="M7" s="226">
        <v>135</v>
      </c>
      <c r="N7" s="227">
        <v>65</v>
      </c>
      <c r="O7" s="227">
        <v>87.4</v>
      </c>
    </row>
    <row r="8" spans="3:15" s="3" customFormat="1" ht="13">
      <c r="F8" s="12" t="s">
        <v>1015</v>
      </c>
      <c r="G8" s="226">
        <v>453.34</v>
      </c>
      <c r="H8" s="227">
        <v>58.87</v>
      </c>
      <c r="L8" s="12" t="s">
        <v>1028</v>
      </c>
      <c r="M8" s="226">
        <v>135</v>
      </c>
      <c r="N8" s="227">
        <v>65</v>
      </c>
      <c r="O8" s="227">
        <v>86.22</v>
      </c>
    </row>
    <row r="9" spans="3:15" s="3" customFormat="1" ht="13">
      <c r="F9" s="12" t="s">
        <v>1016</v>
      </c>
      <c r="G9" s="226">
        <v>527.86</v>
      </c>
      <c r="H9" s="227">
        <v>58.52</v>
      </c>
      <c r="L9" s="12" t="s">
        <v>1029</v>
      </c>
      <c r="M9" s="226">
        <v>405</v>
      </c>
      <c r="N9" s="227">
        <v>65</v>
      </c>
      <c r="O9" s="227">
        <v>85.02</v>
      </c>
    </row>
    <row r="10" spans="3:15" s="3" customFormat="1" ht="13">
      <c r="F10" s="12" t="s">
        <v>1017</v>
      </c>
      <c r="G10" s="226">
        <v>557.24</v>
      </c>
      <c r="H10" s="227">
        <v>57.81946378580146</v>
      </c>
      <c r="L10" s="12" t="s">
        <v>1133</v>
      </c>
      <c r="M10" s="226">
        <v>371</v>
      </c>
      <c r="N10" s="227">
        <v>65</v>
      </c>
      <c r="O10" s="227">
        <v>90.98</v>
      </c>
    </row>
    <row r="11" spans="3:15" s="3" customFormat="1">
      <c r="F11" s="12" t="s">
        <v>1018</v>
      </c>
      <c r="G11" s="226">
        <v>510.52</v>
      </c>
      <c r="H11" s="227">
        <v>56.606277129201601</v>
      </c>
      <c r="L11"/>
      <c r="M11"/>
      <c r="N11" s="227"/>
      <c r="O11"/>
    </row>
    <row r="12" spans="3:15" s="3" customFormat="1" ht="13">
      <c r="F12" s="12" t="s">
        <v>1019</v>
      </c>
      <c r="G12" s="226">
        <v>482.68</v>
      </c>
      <c r="H12" s="227">
        <v>55.561620949697513</v>
      </c>
      <c r="L12" s="98" t="s">
        <v>1132</v>
      </c>
      <c r="M12" s="98" t="s">
        <v>1010</v>
      </c>
      <c r="N12" s="424" t="s">
        <v>1031</v>
      </c>
      <c r="O12" s="425"/>
    </row>
    <row r="13" spans="3:15" s="3" customFormat="1" ht="13">
      <c r="F13" s="12" t="s">
        <v>1020</v>
      </c>
      <c r="G13" s="226">
        <v>484.72800000000001</v>
      </c>
      <c r="H13" s="227">
        <v>53.636475301612464</v>
      </c>
      <c r="L13" s="104"/>
      <c r="M13" s="104" t="s">
        <v>1012</v>
      </c>
      <c r="N13" s="104" t="s">
        <v>1032</v>
      </c>
      <c r="O13" s="104" t="s">
        <v>1033</v>
      </c>
    </row>
    <row r="14" spans="3:15">
      <c r="D14" s="3"/>
      <c r="E14" s="3"/>
      <c r="F14" s="12" t="s">
        <v>1021</v>
      </c>
      <c r="G14" s="226">
        <v>519.48900000000003</v>
      </c>
      <c r="H14" s="227">
        <v>53.773841371039644</v>
      </c>
      <c r="I14" s="3"/>
      <c r="L14" t="s">
        <v>1134</v>
      </c>
      <c r="M14" s="48">
        <v>362</v>
      </c>
      <c r="N14" s="278">
        <v>65</v>
      </c>
      <c r="O14" s="253">
        <v>87.5</v>
      </c>
    </row>
    <row r="15" spans="3:15">
      <c r="D15" s="3"/>
      <c r="E15" s="3"/>
      <c r="F15" s="12" t="s">
        <v>1022</v>
      </c>
      <c r="G15" s="226">
        <v>434.35</v>
      </c>
      <c r="H15" s="227">
        <v>51.168770576723837</v>
      </c>
      <c r="I15" s="3"/>
      <c r="L15" t="s">
        <v>1135</v>
      </c>
      <c r="M15">
        <v>364</v>
      </c>
      <c r="N15" s="278">
        <v>65</v>
      </c>
      <c r="O15" s="278">
        <v>87.5</v>
      </c>
    </row>
    <row r="16" spans="3:15">
      <c r="D16" s="3"/>
      <c r="E16" s="3"/>
      <c r="F16" s="12" t="s">
        <v>1023</v>
      </c>
      <c r="G16" s="226">
        <v>462</v>
      </c>
      <c r="H16" s="227">
        <v>51.803733766233798</v>
      </c>
      <c r="I16" s="3"/>
      <c r="L16" t="s">
        <v>1177</v>
      </c>
      <c r="M16">
        <v>368</v>
      </c>
      <c r="N16" s="278">
        <v>60</v>
      </c>
      <c r="O16" s="278">
        <v>69.75</v>
      </c>
    </row>
    <row r="17" spans="4:15">
      <c r="D17" s="3"/>
      <c r="E17" s="3"/>
      <c r="F17" s="12" t="s">
        <v>1024</v>
      </c>
      <c r="G17" s="226">
        <v>453</v>
      </c>
      <c r="H17" s="227">
        <v>51.904900662251656</v>
      </c>
      <c r="I17" s="3"/>
      <c r="L17" t="s">
        <v>1178</v>
      </c>
      <c r="M17">
        <v>360</v>
      </c>
      <c r="N17" s="278">
        <v>60</v>
      </c>
      <c r="O17" s="278">
        <v>69.75</v>
      </c>
    </row>
    <row r="18" spans="4:15">
      <c r="D18" s="3"/>
      <c r="E18" s="3"/>
      <c r="F18" s="12" t="s">
        <v>1025</v>
      </c>
      <c r="G18" s="226">
        <v>446.75</v>
      </c>
      <c r="H18" s="227">
        <v>55.770637940682711</v>
      </c>
      <c r="I18" s="3"/>
      <c r="L18" t="s">
        <v>1179</v>
      </c>
      <c r="M18">
        <v>364</v>
      </c>
      <c r="N18" s="278">
        <v>60</v>
      </c>
      <c r="O18" s="278">
        <v>69.75</v>
      </c>
    </row>
    <row r="19" spans="4:15">
      <c r="D19" s="3"/>
      <c r="E19" s="3"/>
      <c r="F19" s="12" t="s">
        <v>1026</v>
      </c>
      <c r="G19" s="226">
        <v>444.75</v>
      </c>
      <c r="H19" s="227">
        <v>56.034845418774594</v>
      </c>
      <c r="I19" s="3"/>
      <c r="L19" t="s">
        <v>1180</v>
      </c>
      <c r="M19">
        <v>184</v>
      </c>
      <c r="N19" s="278">
        <v>60</v>
      </c>
      <c r="O19" s="278">
        <v>69.75</v>
      </c>
    </row>
    <row r="20" spans="4:15">
      <c r="D20" s="3"/>
      <c r="E20" s="3"/>
      <c r="F20" s="12" t="s">
        <v>1027</v>
      </c>
      <c r="G20" s="226">
        <v>236</v>
      </c>
      <c r="H20" s="227">
        <v>60.12970338983051</v>
      </c>
      <c r="I20" s="3"/>
      <c r="L20" t="s">
        <v>1181</v>
      </c>
      <c r="M20">
        <v>184</v>
      </c>
      <c r="N20" s="278">
        <v>60</v>
      </c>
      <c r="O20" s="278">
        <v>69.75</v>
      </c>
    </row>
    <row r="21" spans="4:15">
      <c r="D21" s="3"/>
      <c r="E21" s="3"/>
      <c r="F21" s="12" t="s">
        <v>1028</v>
      </c>
      <c r="G21" s="226">
        <v>260</v>
      </c>
      <c r="H21" s="227">
        <v>59.716942307692307</v>
      </c>
      <c r="I21" s="3"/>
    </row>
    <row r="22" spans="4:15">
      <c r="D22" s="3"/>
      <c r="E22" s="3"/>
      <c r="F22" s="12" t="s">
        <v>1029</v>
      </c>
      <c r="G22" s="226">
        <v>71.5</v>
      </c>
      <c r="H22" s="227">
        <v>59.433846153846154</v>
      </c>
      <c r="I22" s="3"/>
    </row>
    <row r="24" spans="4:15">
      <c r="F24" s="98" t="s">
        <v>1254</v>
      </c>
      <c r="G24" s="98" t="s">
        <v>1010</v>
      </c>
      <c r="H24" s="98" t="s">
        <v>1011</v>
      </c>
    </row>
    <row r="25" spans="4:15">
      <c r="F25" s="225" t="s">
        <v>1177</v>
      </c>
      <c r="G25" s="282">
        <v>183</v>
      </c>
      <c r="H25" s="283">
        <v>65.195081967213113</v>
      </c>
    </row>
    <row r="26" spans="4:15">
      <c r="F26" s="225" t="s">
        <v>1178</v>
      </c>
      <c r="G26" s="399">
        <v>478</v>
      </c>
      <c r="H26" s="400">
        <v>64.988420502092055</v>
      </c>
    </row>
    <row r="27" spans="4:15">
      <c r="F27" s="225" t="s">
        <v>1242</v>
      </c>
      <c r="G27" s="282">
        <v>546</v>
      </c>
      <c r="H27" s="283">
        <v>64.535219780219776</v>
      </c>
    </row>
    <row r="28" spans="4:15">
      <c r="F28" s="225" t="s">
        <v>1255</v>
      </c>
      <c r="G28" s="282">
        <v>733</v>
      </c>
      <c r="H28" s="283">
        <v>62.957578444747611</v>
      </c>
    </row>
    <row r="29" spans="4:15">
      <c r="F29" s="225" t="s">
        <v>1256</v>
      </c>
      <c r="G29" s="282">
        <v>733</v>
      </c>
      <c r="H29" s="283">
        <v>62.812728512960433</v>
      </c>
    </row>
    <row r="30" spans="4:15">
      <c r="F30" s="225" t="s">
        <v>1257</v>
      </c>
      <c r="G30" s="282">
        <v>540</v>
      </c>
      <c r="H30" s="283">
        <v>63.016037037037037</v>
      </c>
    </row>
    <row r="31" spans="4:15">
      <c r="F31" s="225" t="s">
        <v>1258</v>
      </c>
      <c r="G31" s="282">
        <v>546</v>
      </c>
      <c r="H31" s="283">
        <v>63.192564102564106</v>
      </c>
    </row>
    <row r="32" spans="4:15">
      <c r="F32" s="225" t="s">
        <v>1259</v>
      </c>
      <c r="G32" s="282">
        <v>552</v>
      </c>
      <c r="H32" s="283">
        <v>63.077300724637681</v>
      </c>
    </row>
    <row r="33" spans="6:9">
      <c r="F33" s="225" t="s">
        <v>1260</v>
      </c>
      <c r="G33" s="282">
        <v>552</v>
      </c>
      <c r="H33" s="283">
        <v>63.265054347826087</v>
      </c>
    </row>
    <row r="34" spans="6:9">
      <c r="F34" s="225" t="s">
        <v>1261</v>
      </c>
      <c r="G34" s="282">
        <v>273</v>
      </c>
      <c r="H34" s="283">
        <v>64.093260073260069</v>
      </c>
    </row>
    <row r="35" spans="6:9" ht="15" thickBot="1">
      <c r="F35" s="225" t="s">
        <v>1262</v>
      </c>
      <c r="G35" s="282">
        <v>273</v>
      </c>
      <c r="H35" s="283">
        <v>64.313260073260068</v>
      </c>
    </row>
    <row r="36" spans="6:9" ht="15" thickBot="1">
      <c r="F36" s="280" t="s">
        <v>555</v>
      </c>
      <c r="G36" s="281">
        <f>SUM(G27:G35)</f>
        <v>4748</v>
      </c>
      <c r="H36" s="284">
        <f>SUMPRODUCT(G27:G35,H27:H35)/SUM(G27:G35)</f>
        <v>63.343223462510529</v>
      </c>
    </row>
    <row r="37" spans="6:9">
      <c r="F37" s="279"/>
    </row>
    <row r="38" spans="6:9">
      <c r="F38" s="279"/>
    </row>
    <row r="42" spans="6:9">
      <c r="F42" s="19"/>
      <c r="G42" s="19"/>
      <c r="H42" s="19"/>
      <c r="I42" s="19"/>
    </row>
  </sheetData>
  <mergeCells count="2">
    <mergeCell ref="N5:O5"/>
    <mergeCell ref="N12:O12"/>
  </mergeCells>
  <pageMargins left="0.511811024" right="0.511811024" top="0.78740157499999996" bottom="0.78740157499999996" header="0.31496062000000002" footer="0.31496062000000002"/>
  <pageSetup paperSize="9" orientation="portrait" horizontalDpi="1200" verticalDpi="1200" r:id="rId1"/>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F93A6-5F67-452D-8405-231334E3CCCD}">
  <dimension ref="B1:XFD30"/>
  <sheetViews>
    <sheetView showGridLines="0" workbookViewId="0">
      <pane xSplit="3" ySplit="5" topLeftCell="DS7" activePane="bottomRight" state="frozen"/>
      <selection activeCell="B30" sqref="B30"/>
      <selection pane="topRight" activeCell="B30" sqref="B30"/>
      <selection pane="bottomLeft" activeCell="B30" sqref="B30"/>
      <selection pane="bottomRight" activeCell="EB8" sqref="EB8:EC26"/>
    </sheetView>
  </sheetViews>
  <sheetFormatPr defaultRowHeight="14.5" outlineLevelCol="1"/>
  <cols>
    <col min="1" max="1" width="1.81640625" customWidth="1"/>
    <col min="2" max="2" width="1.26953125" style="3" customWidth="1"/>
    <col min="3" max="3" width="26.1796875" customWidth="1"/>
    <col min="4" max="4" width="2.26953125" customWidth="1"/>
    <col min="5" max="16" width="9.1796875" hidden="1" customWidth="1" outlineLevel="1"/>
    <col min="17" max="17" width="9.1796875" collapsed="1"/>
    <col min="18" max="29" width="9.1796875" hidden="1" customWidth="1" outlineLevel="1"/>
    <col min="30" max="30" width="9.1796875" collapsed="1"/>
    <col min="31" max="42" width="9.1796875" hidden="1" customWidth="1" outlineLevel="1"/>
    <col min="43" max="43" width="9.1796875" customWidth="1" collapsed="1"/>
    <col min="44" max="55" width="9.1796875" hidden="1" customWidth="1" outlineLevel="1"/>
    <col min="56" max="56" width="9.1796875" collapsed="1"/>
    <col min="57" max="68" width="9.1796875" hidden="1" customWidth="1" outlineLevel="1"/>
    <col min="69" max="69" width="9.1796875" collapsed="1"/>
    <col min="70" max="70" width="1.26953125" style="115" hidden="1" customWidth="1" outlineLevel="1"/>
    <col min="71" max="82" width="9.1796875" hidden="1" customWidth="1" outlineLevel="1"/>
    <col min="83" max="83" width="9.1796875" customWidth="1" collapsed="1"/>
    <col min="84" max="84" width="1.26953125" style="115" hidden="1" customWidth="1" outlineLevel="1"/>
    <col min="85" max="96" width="9.1796875" hidden="1" customWidth="1" outlineLevel="1"/>
    <col min="97" max="97" width="9.1796875" customWidth="1" collapsed="1"/>
    <col min="98" max="98" width="1.26953125" style="115" customWidth="1"/>
    <col min="112" max="112" width="1.1796875" customWidth="1"/>
  </cols>
  <sheetData>
    <row r="1" spans="3:16384" s="3" customFormat="1" ht="9" customHeight="1">
      <c r="G1" s="18"/>
      <c r="I1" s="18"/>
      <c r="J1" s="18"/>
      <c r="K1" s="18"/>
      <c r="L1" s="18"/>
      <c r="T1" s="18"/>
      <c r="V1" s="18"/>
      <c r="W1" s="18"/>
      <c r="X1" s="18"/>
      <c r="Y1" s="18"/>
      <c r="AG1" s="18"/>
      <c r="AI1" s="18"/>
      <c r="AJ1" s="18"/>
      <c r="AK1" s="18"/>
      <c r="AL1" s="18"/>
      <c r="AT1" s="18"/>
      <c r="AV1" s="18"/>
      <c r="AW1" s="18"/>
      <c r="AX1" s="18"/>
      <c r="AY1" s="18"/>
      <c r="BG1" s="18"/>
      <c r="BI1" s="18"/>
      <c r="BJ1" s="18"/>
      <c r="BK1" s="18"/>
      <c r="BL1" s="18"/>
      <c r="BR1" s="38"/>
      <c r="BU1" s="18"/>
      <c r="BW1" s="18"/>
      <c r="BX1" s="18"/>
      <c r="BY1" s="18"/>
      <c r="BZ1" s="18"/>
      <c r="CF1" s="38"/>
      <c r="CI1" s="18"/>
      <c r="CK1" s="18"/>
      <c r="CL1" s="18"/>
      <c r="CM1" s="18"/>
      <c r="CN1" s="18"/>
      <c r="CT1" s="38"/>
      <c r="CW1" s="18"/>
      <c r="CX1" s="18"/>
      <c r="CY1" s="18"/>
      <c r="CZ1" s="18"/>
      <c r="DA1" s="18"/>
      <c r="DK1" s="18"/>
      <c r="DL1" s="18"/>
      <c r="DM1" s="18"/>
      <c r="DN1" s="18"/>
      <c r="DO1" s="18"/>
      <c r="DP1" s="18"/>
      <c r="DQ1" s="18"/>
      <c r="DR1" s="18"/>
      <c r="DS1" s="18"/>
      <c r="DT1" s="18"/>
      <c r="DU1" s="18"/>
      <c r="DV1" s="18"/>
      <c r="DW1" s="18"/>
      <c r="DX1" s="18"/>
      <c r="DY1" s="18"/>
      <c r="DZ1" s="18"/>
      <c r="EA1" s="18"/>
      <c r="EB1" s="18"/>
    </row>
    <row r="2" spans="3:16384" s="3" customFormat="1" ht="18.5">
      <c r="D2" s="54" t="s">
        <v>669</v>
      </c>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08"/>
      <c r="BS2" s="18"/>
      <c r="BT2" s="18"/>
      <c r="BU2" s="18"/>
      <c r="BV2" s="18"/>
      <c r="BW2" s="18"/>
      <c r="BX2" s="18"/>
      <c r="BY2" s="18"/>
      <c r="BZ2" s="18"/>
      <c r="CA2" s="18"/>
      <c r="CB2" s="18"/>
      <c r="CC2" s="18"/>
      <c r="CD2" s="18"/>
      <c r="CE2" s="18"/>
      <c r="CF2" s="108"/>
      <c r="CG2" s="18"/>
      <c r="CH2" s="18"/>
      <c r="CI2" s="18"/>
      <c r="CJ2" s="18"/>
      <c r="CK2" s="18"/>
      <c r="CL2" s="18"/>
      <c r="CM2" s="18"/>
      <c r="CN2" s="18"/>
      <c r="CO2" s="18"/>
      <c r="CP2" s="18"/>
      <c r="CQ2" s="18"/>
      <c r="CR2" s="18"/>
      <c r="CS2" s="18"/>
      <c r="CT2" s="108"/>
      <c r="CU2" s="18"/>
      <c r="CV2" s="18"/>
      <c r="CW2" s="18"/>
      <c r="CX2" s="18"/>
      <c r="CY2" s="18"/>
      <c r="CZ2" s="18"/>
      <c r="DA2" s="18"/>
      <c r="DE2" s="18"/>
      <c r="DK2" s="18"/>
      <c r="DL2" s="18"/>
      <c r="DM2" s="18"/>
      <c r="DN2" s="18"/>
      <c r="DO2" s="18"/>
      <c r="DP2" s="18"/>
      <c r="DQ2" s="18"/>
      <c r="DR2" s="18"/>
      <c r="DS2" s="18"/>
      <c r="DT2" s="18"/>
      <c r="DU2" s="18"/>
      <c r="DV2" s="18"/>
      <c r="DW2" s="18"/>
      <c r="DX2" s="18"/>
      <c r="DY2" s="18"/>
      <c r="DZ2" s="18"/>
      <c r="EA2" s="18"/>
      <c r="EB2" s="18"/>
    </row>
    <row r="3" spans="3:16384" s="3" customFormat="1" ht="13">
      <c r="D3" s="53"/>
      <c r="E3" s="44"/>
      <c r="J3" s="18"/>
      <c r="K3" s="18"/>
      <c r="L3" s="18"/>
      <c r="M3" s="18"/>
      <c r="N3" s="18"/>
      <c r="O3" s="18"/>
      <c r="P3" s="18"/>
      <c r="Q3" s="18"/>
      <c r="R3" s="44"/>
      <c r="W3" s="18"/>
      <c r="X3" s="18"/>
      <c r="Y3" s="18"/>
      <c r="Z3" s="18"/>
      <c r="AA3" s="18"/>
      <c r="AB3" s="18"/>
      <c r="AC3" s="18"/>
      <c r="AD3" s="18"/>
      <c r="AE3" s="44"/>
      <c r="AJ3" s="18"/>
      <c r="AK3" s="18"/>
      <c r="AL3" s="18"/>
      <c r="AM3" s="18"/>
      <c r="AN3" s="18"/>
      <c r="AO3" s="18"/>
      <c r="AP3" s="18"/>
      <c r="AQ3" s="18"/>
      <c r="AR3" s="44"/>
      <c r="AW3" s="18"/>
      <c r="AX3" s="18"/>
      <c r="AY3" s="18"/>
      <c r="AZ3" s="18"/>
      <c r="BA3" s="18"/>
      <c r="BB3" s="18"/>
      <c r="BC3" s="18"/>
      <c r="BD3" s="18"/>
      <c r="BE3" s="44"/>
      <c r="BJ3" s="18"/>
      <c r="BK3" s="18"/>
      <c r="BL3" s="18"/>
      <c r="BM3" s="18"/>
      <c r="BN3" s="18"/>
      <c r="BO3" s="18"/>
      <c r="BP3" s="18"/>
      <c r="BQ3" s="18"/>
      <c r="BR3" s="108"/>
      <c r="BS3" s="44"/>
      <c r="BX3" s="18"/>
      <c r="BY3" s="18"/>
      <c r="BZ3" s="18"/>
      <c r="CA3" s="18"/>
      <c r="CB3" s="18"/>
      <c r="CC3" s="18"/>
      <c r="CD3" s="18"/>
      <c r="CE3" s="18"/>
      <c r="CF3" s="108"/>
      <c r="CG3" s="44"/>
      <c r="CL3" s="18"/>
      <c r="CM3" s="18"/>
      <c r="CN3" s="18"/>
      <c r="CO3" s="18"/>
      <c r="CP3" s="18"/>
      <c r="CQ3" s="18"/>
      <c r="CR3" s="18"/>
      <c r="CS3" s="18"/>
      <c r="CT3" s="108"/>
      <c r="CU3" s="44"/>
      <c r="CZ3" s="18"/>
      <c r="DA3" s="18"/>
      <c r="DE3" s="18"/>
    </row>
    <row r="4" spans="3:16384" s="3" customFormat="1" ht="13">
      <c r="BR4" s="38"/>
      <c r="CF4" s="38"/>
      <c r="CT4" s="38"/>
    </row>
    <row r="5" spans="3:16384" ht="16">
      <c r="C5" s="23" t="s">
        <v>854</v>
      </c>
      <c r="D5" s="23"/>
      <c r="E5" s="52" t="s">
        <v>93</v>
      </c>
      <c r="F5" s="52" t="s">
        <v>26</v>
      </c>
      <c r="G5" s="52" t="s">
        <v>27</v>
      </c>
      <c r="H5" s="52" t="s">
        <v>28</v>
      </c>
      <c r="I5" s="52" t="s">
        <v>29</v>
      </c>
      <c r="J5" s="52" t="s">
        <v>30</v>
      </c>
      <c r="K5" s="52" t="s">
        <v>31</v>
      </c>
      <c r="L5" s="52" t="s">
        <v>32</v>
      </c>
      <c r="M5" s="52" t="s">
        <v>33</v>
      </c>
      <c r="N5" s="52" t="s">
        <v>34</v>
      </c>
      <c r="O5" s="52" t="s">
        <v>35</v>
      </c>
      <c r="P5" s="52" t="s">
        <v>36</v>
      </c>
      <c r="Q5" s="68">
        <f>AD5-1</f>
        <v>2017</v>
      </c>
      <c r="R5" s="67" t="s">
        <v>93</v>
      </c>
      <c r="S5" s="67" t="s">
        <v>26</v>
      </c>
      <c r="T5" s="67" t="s">
        <v>27</v>
      </c>
      <c r="U5" s="67" t="s">
        <v>28</v>
      </c>
      <c r="V5" s="67" t="s">
        <v>29</v>
      </c>
      <c r="W5" s="67" t="s">
        <v>30</v>
      </c>
      <c r="X5" s="67" t="s">
        <v>31</v>
      </c>
      <c r="Y5" s="67" t="s">
        <v>32</v>
      </c>
      <c r="Z5" s="67" t="s">
        <v>33</v>
      </c>
      <c r="AA5" s="67" t="s">
        <v>34</v>
      </c>
      <c r="AB5" s="67" t="s">
        <v>35</v>
      </c>
      <c r="AC5" s="67" t="s">
        <v>36</v>
      </c>
      <c r="AD5" s="68">
        <f>AQ5-1</f>
        <v>2018</v>
      </c>
      <c r="AE5" s="67" t="s">
        <v>93</v>
      </c>
      <c r="AF5" s="67" t="s">
        <v>26</v>
      </c>
      <c r="AG5" s="67" t="s">
        <v>27</v>
      </c>
      <c r="AH5" s="67" t="s">
        <v>28</v>
      </c>
      <c r="AI5" s="67" t="s">
        <v>29</v>
      </c>
      <c r="AJ5" s="67" t="s">
        <v>30</v>
      </c>
      <c r="AK5" s="67" t="s">
        <v>31</v>
      </c>
      <c r="AL5" s="67" t="s">
        <v>32</v>
      </c>
      <c r="AM5" s="67" t="s">
        <v>33</v>
      </c>
      <c r="AN5" s="67" t="s">
        <v>34</v>
      </c>
      <c r="AO5" s="67" t="s">
        <v>35</v>
      </c>
      <c r="AP5" s="67" t="s">
        <v>36</v>
      </c>
      <c r="AQ5" s="68">
        <f>BD5-1</f>
        <v>2019</v>
      </c>
      <c r="AR5" s="67" t="s">
        <v>93</v>
      </c>
      <c r="AS5" s="67" t="s">
        <v>26</v>
      </c>
      <c r="AT5" s="67" t="s">
        <v>27</v>
      </c>
      <c r="AU5" s="67" t="s">
        <v>28</v>
      </c>
      <c r="AV5" s="67" t="s">
        <v>29</v>
      </c>
      <c r="AW5" s="67" t="s">
        <v>30</v>
      </c>
      <c r="AX5" s="67" t="s">
        <v>31</v>
      </c>
      <c r="AY5" s="67" t="s">
        <v>32</v>
      </c>
      <c r="AZ5" s="67" t="s">
        <v>33</v>
      </c>
      <c r="BA5" s="67" t="s">
        <v>34</v>
      </c>
      <c r="BB5" s="67" t="s">
        <v>35</v>
      </c>
      <c r="BC5" s="67" t="s">
        <v>36</v>
      </c>
      <c r="BD5" s="68">
        <f>BQ5-1</f>
        <v>2020</v>
      </c>
      <c r="BE5" s="52" t="s">
        <v>93</v>
      </c>
      <c r="BF5" s="52" t="s">
        <v>26</v>
      </c>
      <c r="BG5" s="52" t="s">
        <v>27</v>
      </c>
      <c r="BH5" s="52" t="s">
        <v>28</v>
      </c>
      <c r="BI5" s="52" t="s">
        <v>29</v>
      </c>
      <c r="BJ5" s="52" t="s">
        <v>30</v>
      </c>
      <c r="BK5" s="52" t="s">
        <v>31</v>
      </c>
      <c r="BL5" s="52" t="s">
        <v>32</v>
      </c>
      <c r="BM5" s="52" t="s">
        <v>33</v>
      </c>
      <c r="BN5" s="52" t="s">
        <v>34</v>
      </c>
      <c r="BO5" s="52" t="s">
        <v>35</v>
      </c>
      <c r="BP5" s="52" t="s">
        <v>36</v>
      </c>
      <c r="BQ5" s="2">
        <v>2021</v>
      </c>
      <c r="BR5" s="141"/>
      <c r="BS5" s="138" t="s">
        <v>565</v>
      </c>
      <c r="BT5" s="138" t="s">
        <v>578</v>
      </c>
      <c r="BU5" s="138" t="s">
        <v>579</v>
      </c>
      <c r="BV5" s="138" t="s">
        <v>586</v>
      </c>
      <c r="BW5" s="138" t="s">
        <v>727</v>
      </c>
      <c r="BX5" s="138" t="s">
        <v>728</v>
      </c>
      <c r="BY5" s="138" t="s">
        <v>747</v>
      </c>
      <c r="BZ5" s="138" t="s">
        <v>758</v>
      </c>
      <c r="CA5" s="138" t="s">
        <v>759</v>
      </c>
      <c r="CB5" s="138" t="s">
        <v>764</v>
      </c>
      <c r="CC5" s="138" t="s">
        <v>765</v>
      </c>
      <c r="CD5" s="138" t="s">
        <v>766</v>
      </c>
      <c r="CE5" s="2">
        <v>2022</v>
      </c>
      <c r="CF5" s="141"/>
      <c r="CG5" s="138" t="s">
        <v>786</v>
      </c>
      <c r="CH5" s="138" t="s">
        <v>787</v>
      </c>
      <c r="CI5" s="138" t="s">
        <v>788</v>
      </c>
      <c r="CJ5" s="138" t="s">
        <v>789</v>
      </c>
      <c r="CK5" s="138" t="s">
        <v>790</v>
      </c>
      <c r="CL5" s="138" t="s">
        <v>791</v>
      </c>
      <c r="CM5" s="138" t="s">
        <v>792</v>
      </c>
      <c r="CN5" s="138" t="s">
        <v>793</v>
      </c>
      <c r="CO5" s="138" t="s">
        <v>794</v>
      </c>
      <c r="CP5" s="138" t="s">
        <v>795</v>
      </c>
      <c r="CQ5" s="138" t="s">
        <v>796</v>
      </c>
      <c r="CR5" s="138" t="s">
        <v>797</v>
      </c>
      <c r="CS5" s="2">
        <v>2023</v>
      </c>
      <c r="CT5" s="141"/>
      <c r="CU5" s="138" t="s">
        <v>965</v>
      </c>
      <c r="CV5" s="138" t="s">
        <v>1034</v>
      </c>
      <c r="CW5" s="138" t="s">
        <v>1035</v>
      </c>
      <c r="CX5" s="138" t="s">
        <v>1075</v>
      </c>
      <c r="CY5" s="138" t="s">
        <v>1076</v>
      </c>
      <c r="CZ5" s="138" t="s">
        <v>1094</v>
      </c>
      <c r="DA5" s="138" t="s">
        <v>1095</v>
      </c>
      <c r="DB5" s="138" t="s">
        <v>1122</v>
      </c>
      <c r="DC5" s="138" t="s">
        <v>1123</v>
      </c>
      <c r="DD5" s="138" t="s">
        <v>1124</v>
      </c>
      <c r="DE5" s="138" t="s">
        <v>1127</v>
      </c>
      <c r="DF5" s="138" t="s">
        <v>1160</v>
      </c>
      <c r="DG5" s="2">
        <v>2024</v>
      </c>
      <c r="DH5" s="138"/>
      <c r="DI5" s="138" t="s">
        <v>1161</v>
      </c>
      <c r="DJ5" s="138" t="s">
        <v>1162</v>
      </c>
      <c r="DK5" s="138" t="s">
        <v>1163</v>
      </c>
      <c r="DL5" s="138" t="s">
        <v>1164</v>
      </c>
      <c r="DM5" s="138" t="s">
        <v>1172</v>
      </c>
      <c r="DN5" s="138" t="s">
        <v>1175</v>
      </c>
      <c r="DO5" s="138" t="s">
        <v>1176</v>
      </c>
      <c r="DP5" s="138" t="s">
        <v>1197</v>
      </c>
      <c r="DQ5" s="138" t="s">
        <v>1198</v>
      </c>
      <c r="DR5" s="138" t="s">
        <v>1199</v>
      </c>
      <c r="DS5" s="138" t="s">
        <v>1200</v>
      </c>
      <c r="DT5" s="138" t="s">
        <v>1201</v>
      </c>
      <c r="DU5" s="2">
        <v>2025</v>
      </c>
      <c r="DV5" s="138" t="s">
        <v>1207</v>
      </c>
      <c r="DW5" s="138" t="s">
        <v>1208</v>
      </c>
      <c r="DX5" s="138" t="s">
        <v>1221</v>
      </c>
      <c r="DY5" s="401" t="s">
        <v>1264</v>
      </c>
      <c r="DZ5" s="401" t="s">
        <v>1265</v>
      </c>
      <c r="EA5" s="401" t="s">
        <v>1266</v>
      </c>
      <c r="EB5" s="401" t="s">
        <v>1272</v>
      </c>
      <c r="EC5" s="401" t="s">
        <v>1275</v>
      </c>
      <c r="ED5" s="138"/>
      <c r="EE5" s="138"/>
      <c r="EF5" s="138"/>
      <c r="EG5" s="138"/>
      <c r="EH5" s="138"/>
      <c r="EI5" s="138"/>
      <c r="EJ5" s="138"/>
      <c r="EK5" s="138"/>
      <c r="EL5" s="138"/>
      <c r="EM5" s="138"/>
      <c r="EN5" s="138"/>
      <c r="EO5" s="138"/>
      <c r="EP5" s="138"/>
      <c r="EQ5" s="138"/>
      <c r="ER5" s="138"/>
      <c r="ES5" s="138"/>
      <c r="ET5" s="138"/>
      <c r="EU5" s="138"/>
      <c r="EV5" s="138"/>
      <c r="EW5" s="138"/>
      <c r="EX5" s="138"/>
      <c r="EY5" s="138"/>
      <c r="EZ5" s="138"/>
      <c r="FA5" s="138"/>
      <c r="FB5" s="138"/>
      <c r="FC5" s="138"/>
      <c r="FD5" s="138"/>
      <c r="FE5" s="138"/>
      <c r="FF5" s="138"/>
      <c r="FG5" s="138"/>
      <c r="FH5" s="138"/>
      <c r="FI5" s="138"/>
      <c r="FJ5" s="138"/>
      <c r="FK5" s="138"/>
      <c r="FL5" s="138"/>
      <c r="FM5" s="138"/>
      <c r="FN5" s="138"/>
      <c r="FO5" s="138"/>
      <c r="FP5" s="138"/>
      <c r="FQ5" s="138"/>
      <c r="FR5" s="138"/>
      <c r="FS5" s="138"/>
      <c r="FT5" s="138"/>
      <c r="FU5" s="138"/>
      <c r="FV5" s="138"/>
      <c r="FW5" s="138"/>
      <c r="FX5" s="138"/>
      <c r="FY5" s="138"/>
      <c r="FZ5" s="138"/>
      <c r="GA5" s="138"/>
      <c r="GB5" s="138"/>
      <c r="GC5" s="138"/>
      <c r="GD5" s="138"/>
      <c r="GE5" s="138"/>
      <c r="GF5" s="138"/>
      <c r="GG5" s="138"/>
      <c r="GH5" s="138"/>
      <c r="GI5" s="138"/>
      <c r="GJ5" s="138"/>
      <c r="GK5" s="138"/>
      <c r="GL5" s="138"/>
      <c r="GM5" s="138"/>
      <c r="GN5" s="138"/>
      <c r="GO5" s="138"/>
      <c r="GP5" s="138"/>
      <c r="GQ5" s="138"/>
      <c r="GR5" s="138"/>
      <c r="GS5" s="138"/>
      <c r="GT5" s="138"/>
      <c r="GU5" s="138"/>
      <c r="GV5" s="138"/>
      <c r="GW5" s="138"/>
      <c r="GX5" s="138"/>
      <c r="GY5" s="138"/>
      <c r="GZ5" s="138"/>
      <c r="HA5" s="138"/>
      <c r="HB5" s="138"/>
      <c r="HC5" s="138"/>
      <c r="HD5" s="138"/>
      <c r="HE5" s="138"/>
      <c r="HF5" s="138"/>
      <c r="HG5" s="138"/>
      <c r="HH5" s="138"/>
      <c r="HI5" s="138"/>
      <c r="HJ5" s="138"/>
      <c r="HK5" s="138"/>
      <c r="HL5" s="138"/>
      <c r="HM5" s="138"/>
      <c r="HN5" s="138"/>
      <c r="HO5" s="138"/>
      <c r="HP5" s="138"/>
      <c r="HQ5" s="138"/>
      <c r="HR5" s="138"/>
      <c r="HS5" s="138"/>
      <c r="HT5" s="138"/>
      <c r="HU5" s="138"/>
      <c r="HV5" s="138"/>
      <c r="HW5" s="138"/>
      <c r="HX5" s="138"/>
      <c r="HY5" s="138"/>
      <c r="HZ5" s="138"/>
      <c r="IA5" s="138"/>
      <c r="IB5" s="138"/>
      <c r="IC5" s="138"/>
      <c r="ID5" s="138"/>
      <c r="IE5" s="138"/>
      <c r="IF5" s="138"/>
      <c r="IG5" s="138"/>
      <c r="IH5" s="138"/>
      <c r="II5" s="138"/>
      <c r="IJ5" s="138"/>
      <c r="IK5" s="138"/>
      <c r="IL5" s="138"/>
      <c r="IM5" s="138"/>
      <c r="IN5" s="138"/>
      <c r="IO5" s="138"/>
      <c r="IP5" s="138"/>
      <c r="IQ5" s="138"/>
      <c r="IR5" s="138"/>
      <c r="IS5" s="138"/>
      <c r="IT5" s="138"/>
      <c r="IU5" s="138"/>
      <c r="IV5" s="138"/>
      <c r="IW5" s="138"/>
      <c r="IX5" s="138"/>
      <c r="IY5" s="138"/>
      <c r="IZ5" s="138"/>
      <c r="JA5" s="138"/>
      <c r="JB5" s="138"/>
      <c r="JC5" s="138"/>
      <c r="JD5" s="138"/>
      <c r="JE5" s="138"/>
      <c r="JF5" s="138"/>
      <c r="JG5" s="138"/>
      <c r="JH5" s="138"/>
      <c r="JI5" s="138"/>
      <c r="JJ5" s="138"/>
      <c r="JK5" s="138"/>
      <c r="JL5" s="138"/>
      <c r="JM5" s="138"/>
      <c r="JN5" s="138"/>
      <c r="JO5" s="138"/>
      <c r="JP5" s="138"/>
      <c r="JQ5" s="138"/>
      <c r="JR5" s="138"/>
      <c r="JS5" s="138"/>
      <c r="JT5" s="138"/>
      <c r="JU5" s="138"/>
      <c r="JV5" s="138"/>
      <c r="JW5" s="138"/>
      <c r="JX5" s="138"/>
      <c r="JY5" s="138"/>
      <c r="JZ5" s="138"/>
      <c r="KA5" s="138"/>
      <c r="KB5" s="138"/>
      <c r="KC5" s="138"/>
      <c r="KD5" s="138"/>
      <c r="KE5" s="138"/>
      <c r="KF5" s="138"/>
      <c r="KG5" s="138"/>
      <c r="KH5" s="138"/>
      <c r="KI5" s="138"/>
      <c r="KJ5" s="138"/>
      <c r="KK5" s="138"/>
      <c r="KL5" s="138"/>
      <c r="KM5" s="138"/>
      <c r="KN5" s="138"/>
      <c r="KO5" s="138"/>
      <c r="KP5" s="138"/>
      <c r="KQ5" s="138"/>
      <c r="KR5" s="138"/>
      <c r="KS5" s="138"/>
      <c r="KT5" s="138"/>
      <c r="KU5" s="138"/>
      <c r="KV5" s="138"/>
      <c r="KW5" s="138"/>
      <c r="KX5" s="138"/>
      <c r="KY5" s="138"/>
      <c r="KZ5" s="138"/>
      <c r="LA5" s="138"/>
      <c r="LB5" s="138"/>
      <c r="LC5" s="138"/>
      <c r="LD5" s="138"/>
      <c r="LE5" s="138"/>
      <c r="LF5" s="138"/>
      <c r="LG5" s="138"/>
      <c r="LH5" s="138"/>
      <c r="LI5" s="138"/>
      <c r="LJ5" s="138"/>
      <c r="LK5" s="138"/>
      <c r="LL5" s="138"/>
      <c r="LM5" s="138"/>
      <c r="LN5" s="138"/>
      <c r="LO5" s="138"/>
      <c r="LP5" s="138"/>
      <c r="LQ5" s="138"/>
      <c r="LR5" s="138"/>
      <c r="LS5" s="138"/>
      <c r="LT5" s="138"/>
      <c r="LU5" s="138"/>
      <c r="LV5" s="138"/>
      <c r="LW5" s="138"/>
      <c r="LX5" s="138"/>
      <c r="LY5" s="138"/>
      <c r="LZ5" s="138"/>
      <c r="MA5" s="138"/>
      <c r="MB5" s="138"/>
      <c r="MC5" s="138"/>
      <c r="MD5" s="138"/>
      <c r="ME5" s="138"/>
      <c r="MF5" s="138"/>
      <c r="MG5" s="138"/>
      <c r="MH5" s="138"/>
      <c r="MI5" s="138"/>
      <c r="MJ5" s="138"/>
      <c r="MK5" s="138"/>
      <c r="ML5" s="138"/>
      <c r="MM5" s="138"/>
      <c r="MN5" s="138"/>
      <c r="MO5" s="138"/>
      <c r="MP5" s="138"/>
      <c r="MQ5" s="138"/>
      <c r="MR5" s="138"/>
      <c r="MS5" s="138"/>
      <c r="MT5" s="138"/>
      <c r="MU5" s="138"/>
      <c r="MV5" s="138"/>
      <c r="MW5" s="138"/>
      <c r="MX5" s="138"/>
      <c r="MY5" s="138"/>
      <c r="MZ5" s="138"/>
      <c r="NA5" s="138"/>
      <c r="NB5" s="138"/>
      <c r="NC5" s="138"/>
      <c r="ND5" s="138"/>
      <c r="NE5" s="138"/>
      <c r="NF5" s="138"/>
      <c r="NG5" s="138"/>
      <c r="NH5" s="138"/>
      <c r="NI5" s="138"/>
      <c r="NJ5" s="138"/>
      <c r="NK5" s="138"/>
      <c r="NL5" s="138"/>
      <c r="NM5" s="138"/>
      <c r="NN5" s="138"/>
      <c r="NO5" s="138"/>
      <c r="NP5" s="138"/>
      <c r="NQ5" s="138"/>
      <c r="NR5" s="138"/>
      <c r="NS5" s="138"/>
      <c r="NT5" s="138"/>
      <c r="NU5" s="138"/>
      <c r="NV5" s="138"/>
      <c r="NW5" s="138"/>
      <c r="NX5" s="138"/>
      <c r="NY5" s="138"/>
      <c r="NZ5" s="138"/>
      <c r="OA5" s="138"/>
      <c r="OB5" s="138"/>
      <c r="OC5" s="138"/>
      <c r="OD5" s="138"/>
      <c r="OE5" s="138"/>
      <c r="OF5" s="138"/>
      <c r="OG5" s="138"/>
      <c r="OH5" s="138"/>
      <c r="OI5" s="138"/>
      <c r="OJ5" s="138"/>
      <c r="OK5" s="138"/>
      <c r="OL5" s="138"/>
      <c r="OM5" s="138"/>
      <c r="ON5" s="138"/>
      <c r="OO5" s="138"/>
      <c r="OP5" s="138"/>
      <c r="OQ5" s="138"/>
      <c r="OR5" s="138"/>
      <c r="OS5" s="138"/>
      <c r="OT5" s="138"/>
      <c r="OU5" s="138"/>
      <c r="OV5" s="138"/>
      <c r="OW5" s="138"/>
      <c r="OX5" s="138"/>
      <c r="OY5" s="138"/>
      <c r="OZ5" s="138"/>
      <c r="PA5" s="138"/>
      <c r="PB5" s="138"/>
      <c r="PC5" s="138"/>
      <c r="PD5" s="138"/>
      <c r="PE5" s="138"/>
      <c r="PF5" s="138"/>
      <c r="PG5" s="138"/>
      <c r="PH5" s="138"/>
      <c r="PI5" s="138"/>
      <c r="PJ5" s="138"/>
      <c r="PK5" s="138"/>
      <c r="PL5" s="138"/>
      <c r="PM5" s="138"/>
      <c r="PN5" s="138"/>
      <c r="PO5" s="138"/>
      <c r="PP5" s="138"/>
      <c r="PQ5" s="138"/>
      <c r="PR5" s="138"/>
      <c r="PS5" s="138"/>
      <c r="PT5" s="138"/>
      <c r="PU5" s="138"/>
      <c r="PV5" s="138"/>
      <c r="PW5" s="138"/>
      <c r="PX5" s="138"/>
      <c r="PY5" s="138"/>
      <c r="PZ5" s="138"/>
      <c r="QA5" s="138"/>
      <c r="QB5" s="138"/>
      <c r="QC5" s="138"/>
      <c r="QD5" s="138"/>
      <c r="QE5" s="138"/>
      <c r="QF5" s="138"/>
      <c r="QG5" s="138"/>
      <c r="QH5" s="138"/>
      <c r="QI5" s="138"/>
      <c r="QJ5" s="138"/>
      <c r="QK5" s="138"/>
      <c r="QL5" s="138"/>
      <c r="QM5" s="138"/>
      <c r="QN5" s="138"/>
      <c r="QO5" s="138"/>
      <c r="QP5" s="138"/>
      <c r="QQ5" s="138"/>
      <c r="QR5" s="138"/>
      <c r="QS5" s="138"/>
      <c r="QT5" s="138"/>
      <c r="QU5" s="138"/>
      <c r="QV5" s="138"/>
      <c r="QW5" s="138"/>
      <c r="QX5" s="138"/>
      <c r="QY5" s="138"/>
      <c r="QZ5" s="138"/>
      <c r="RA5" s="138"/>
      <c r="RB5" s="138"/>
      <c r="RC5" s="138"/>
      <c r="RD5" s="138"/>
      <c r="RE5" s="138"/>
      <c r="RF5" s="138"/>
      <c r="RG5" s="138"/>
      <c r="RH5" s="138"/>
      <c r="RI5" s="138"/>
      <c r="RJ5" s="138"/>
      <c r="RK5" s="138"/>
      <c r="RL5" s="138"/>
      <c r="RM5" s="138"/>
      <c r="RN5" s="138"/>
      <c r="RO5" s="138"/>
      <c r="RP5" s="138"/>
      <c r="RQ5" s="138"/>
      <c r="RR5" s="138"/>
      <c r="RS5" s="138"/>
      <c r="RT5" s="138"/>
      <c r="RU5" s="138"/>
      <c r="RV5" s="138"/>
      <c r="RW5" s="138"/>
      <c r="RX5" s="138"/>
      <c r="RY5" s="138"/>
      <c r="RZ5" s="138"/>
      <c r="SA5" s="138"/>
      <c r="SB5" s="138"/>
      <c r="SC5" s="138"/>
      <c r="SD5" s="138"/>
      <c r="SE5" s="138"/>
      <c r="SF5" s="138"/>
      <c r="SG5" s="138"/>
      <c r="SH5" s="138"/>
      <c r="SI5" s="138"/>
      <c r="SJ5" s="138"/>
      <c r="SK5" s="138"/>
      <c r="SL5" s="138"/>
      <c r="SM5" s="138"/>
      <c r="SN5" s="138"/>
      <c r="SO5" s="138"/>
      <c r="SP5" s="138"/>
      <c r="SQ5" s="138"/>
      <c r="SR5" s="138"/>
      <c r="SS5" s="138"/>
      <c r="ST5" s="138"/>
      <c r="SU5" s="138"/>
      <c r="SV5" s="138"/>
      <c r="SW5" s="138"/>
      <c r="SX5" s="138"/>
      <c r="SY5" s="138"/>
      <c r="SZ5" s="138"/>
      <c r="TA5" s="138"/>
      <c r="TB5" s="138"/>
      <c r="TC5" s="138"/>
      <c r="TD5" s="138"/>
      <c r="TE5" s="138"/>
      <c r="TF5" s="138"/>
      <c r="TG5" s="138"/>
      <c r="TH5" s="138"/>
      <c r="TI5" s="138"/>
      <c r="TJ5" s="138"/>
      <c r="TK5" s="138"/>
      <c r="TL5" s="138"/>
      <c r="TM5" s="138"/>
      <c r="TN5" s="138"/>
      <c r="TO5" s="138"/>
      <c r="TP5" s="138"/>
      <c r="TQ5" s="138"/>
      <c r="TR5" s="138"/>
      <c r="TS5" s="138"/>
      <c r="TT5" s="138"/>
      <c r="TU5" s="138"/>
      <c r="TV5" s="138"/>
      <c r="TW5" s="138"/>
      <c r="TX5" s="138"/>
      <c r="TY5" s="138"/>
      <c r="TZ5" s="138"/>
      <c r="UA5" s="138"/>
      <c r="UB5" s="138"/>
      <c r="UC5" s="138"/>
      <c r="UD5" s="138"/>
      <c r="UE5" s="138"/>
      <c r="UF5" s="138"/>
      <c r="UG5" s="138"/>
      <c r="UH5" s="138"/>
      <c r="UI5" s="138"/>
      <c r="UJ5" s="138"/>
      <c r="UK5" s="138"/>
      <c r="UL5" s="138"/>
      <c r="UM5" s="138"/>
      <c r="UN5" s="138"/>
      <c r="UO5" s="138"/>
      <c r="UP5" s="138"/>
      <c r="UQ5" s="138"/>
      <c r="UR5" s="138"/>
      <c r="US5" s="138"/>
      <c r="UT5" s="138"/>
      <c r="UU5" s="138"/>
      <c r="UV5" s="138"/>
      <c r="UW5" s="138"/>
      <c r="UX5" s="138"/>
      <c r="UY5" s="138"/>
      <c r="UZ5" s="138"/>
      <c r="VA5" s="138"/>
      <c r="VB5" s="138"/>
      <c r="VC5" s="138"/>
      <c r="VD5" s="138"/>
      <c r="VE5" s="138"/>
      <c r="VF5" s="138"/>
      <c r="VG5" s="138"/>
      <c r="VH5" s="138"/>
      <c r="VI5" s="138"/>
      <c r="VJ5" s="138"/>
      <c r="VK5" s="138"/>
      <c r="VL5" s="138"/>
      <c r="VM5" s="138"/>
      <c r="VN5" s="138"/>
      <c r="VO5" s="138"/>
      <c r="VP5" s="138"/>
      <c r="VQ5" s="138"/>
      <c r="VR5" s="138"/>
      <c r="VS5" s="138"/>
      <c r="VT5" s="138"/>
      <c r="VU5" s="138"/>
      <c r="VV5" s="138"/>
      <c r="VW5" s="138"/>
      <c r="VX5" s="138"/>
      <c r="VY5" s="138"/>
      <c r="VZ5" s="138"/>
      <c r="WA5" s="138"/>
      <c r="WB5" s="138"/>
      <c r="WC5" s="138"/>
      <c r="WD5" s="138"/>
      <c r="WE5" s="138"/>
      <c r="WF5" s="138"/>
      <c r="WG5" s="138"/>
      <c r="WH5" s="138"/>
      <c r="WI5" s="138"/>
      <c r="WJ5" s="138"/>
      <c r="WK5" s="138"/>
      <c r="WL5" s="138"/>
      <c r="WM5" s="138"/>
      <c r="WN5" s="138"/>
      <c r="WO5" s="138"/>
      <c r="WP5" s="138"/>
      <c r="WQ5" s="138"/>
      <c r="WR5" s="138"/>
      <c r="WS5" s="138"/>
      <c r="WT5" s="138"/>
      <c r="WU5" s="138"/>
      <c r="WV5" s="138"/>
      <c r="WW5" s="138"/>
      <c r="WX5" s="138"/>
      <c r="WY5" s="138"/>
      <c r="WZ5" s="138"/>
      <c r="XA5" s="138"/>
      <c r="XB5" s="138"/>
      <c r="XC5" s="138"/>
      <c r="XD5" s="138"/>
      <c r="XE5" s="138"/>
      <c r="XF5" s="138"/>
      <c r="XG5" s="138"/>
      <c r="XH5" s="138"/>
      <c r="XI5" s="138"/>
      <c r="XJ5" s="138"/>
      <c r="XK5" s="138"/>
      <c r="XL5" s="138"/>
      <c r="XM5" s="138"/>
      <c r="XN5" s="138"/>
      <c r="XO5" s="138"/>
      <c r="XP5" s="138"/>
      <c r="XQ5" s="138"/>
      <c r="XR5" s="138"/>
      <c r="XS5" s="138"/>
      <c r="XT5" s="138"/>
      <c r="XU5" s="138"/>
      <c r="XV5" s="138"/>
      <c r="XW5" s="138"/>
      <c r="XX5" s="138"/>
      <c r="XY5" s="138"/>
      <c r="XZ5" s="138"/>
      <c r="YA5" s="138"/>
      <c r="YB5" s="138"/>
      <c r="YC5" s="138"/>
      <c r="YD5" s="138"/>
      <c r="YE5" s="138"/>
      <c r="YF5" s="138"/>
      <c r="YG5" s="138"/>
      <c r="YH5" s="138"/>
      <c r="YI5" s="138"/>
      <c r="YJ5" s="138"/>
      <c r="YK5" s="138"/>
      <c r="YL5" s="138"/>
      <c r="YM5" s="138"/>
      <c r="YN5" s="138"/>
      <c r="YO5" s="138"/>
      <c r="YP5" s="138"/>
      <c r="YQ5" s="138"/>
      <c r="YR5" s="138"/>
      <c r="YS5" s="138"/>
      <c r="YT5" s="138"/>
      <c r="YU5" s="138"/>
      <c r="YV5" s="138"/>
      <c r="YW5" s="138"/>
      <c r="YX5" s="138"/>
      <c r="YY5" s="138"/>
      <c r="YZ5" s="138"/>
      <c r="ZA5" s="138"/>
      <c r="ZB5" s="138"/>
      <c r="ZC5" s="138"/>
      <c r="ZD5" s="138"/>
      <c r="ZE5" s="138"/>
      <c r="ZF5" s="138"/>
      <c r="ZG5" s="138"/>
      <c r="ZH5" s="138"/>
      <c r="ZI5" s="138"/>
      <c r="ZJ5" s="138"/>
      <c r="ZK5" s="138"/>
      <c r="ZL5" s="138"/>
      <c r="ZM5" s="138"/>
      <c r="ZN5" s="138"/>
      <c r="ZO5" s="138"/>
      <c r="ZP5" s="138"/>
      <c r="ZQ5" s="138"/>
      <c r="ZR5" s="138"/>
      <c r="ZS5" s="138"/>
      <c r="ZT5" s="138"/>
      <c r="ZU5" s="138"/>
      <c r="ZV5" s="138"/>
      <c r="ZW5" s="138"/>
      <c r="ZX5" s="138"/>
      <c r="ZY5" s="138"/>
      <c r="ZZ5" s="138"/>
      <c r="AAA5" s="138"/>
      <c r="AAB5" s="138"/>
      <c r="AAC5" s="138"/>
      <c r="AAD5" s="138"/>
      <c r="AAE5" s="138"/>
      <c r="AAF5" s="138"/>
      <c r="AAG5" s="138"/>
      <c r="AAH5" s="138"/>
      <c r="AAI5" s="138"/>
      <c r="AAJ5" s="138"/>
      <c r="AAK5" s="138"/>
      <c r="AAL5" s="138"/>
      <c r="AAM5" s="138"/>
      <c r="AAN5" s="138"/>
      <c r="AAO5" s="138"/>
      <c r="AAP5" s="138"/>
      <c r="AAQ5" s="138"/>
      <c r="AAR5" s="138"/>
      <c r="AAS5" s="138"/>
      <c r="AAT5" s="138"/>
      <c r="AAU5" s="138"/>
      <c r="AAV5" s="138"/>
      <c r="AAW5" s="138"/>
      <c r="AAX5" s="138"/>
      <c r="AAY5" s="138"/>
      <c r="AAZ5" s="138"/>
      <c r="ABA5" s="138"/>
      <c r="ABB5" s="138"/>
      <c r="ABC5" s="138"/>
      <c r="ABD5" s="138"/>
      <c r="ABE5" s="138"/>
      <c r="ABF5" s="138"/>
      <c r="ABG5" s="138"/>
      <c r="ABH5" s="138"/>
      <c r="ABI5" s="138"/>
      <c r="ABJ5" s="138"/>
      <c r="ABK5" s="138"/>
      <c r="ABL5" s="138"/>
      <c r="ABM5" s="138"/>
      <c r="ABN5" s="138"/>
      <c r="ABO5" s="138"/>
      <c r="ABP5" s="138"/>
      <c r="ABQ5" s="138"/>
      <c r="ABR5" s="138"/>
      <c r="ABS5" s="138"/>
      <c r="ABT5" s="138"/>
      <c r="ABU5" s="138"/>
      <c r="ABV5" s="138"/>
      <c r="ABW5" s="138"/>
      <c r="ABX5" s="138"/>
      <c r="ABY5" s="138"/>
      <c r="ABZ5" s="138"/>
      <c r="ACA5" s="138"/>
      <c r="ACB5" s="138"/>
      <c r="ACC5" s="138"/>
      <c r="ACD5" s="138"/>
      <c r="ACE5" s="138"/>
      <c r="ACF5" s="138"/>
      <c r="ACG5" s="138"/>
      <c r="ACH5" s="138"/>
      <c r="ACI5" s="138"/>
      <c r="ACJ5" s="138"/>
      <c r="ACK5" s="138"/>
      <c r="ACL5" s="138"/>
      <c r="ACM5" s="138"/>
      <c r="ACN5" s="138"/>
      <c r="ACO5" s="138"/>
      <c r="ACP5" s="138"/>
      <c r="ACQ5" s="138"/>
      <c r="ACR5" s="138"/>
      <c r="ACS5" s="138"/>
      <c r="ACT5" s="138"/>
      <c r="ACU5" s="138"/>
      <c r="ACV5" s="138"/>
      <c r="ACW5" s="138"/>
      <c r="ACX5" s="138"/>
      <c r="ACY5" s="138"/>
      <c r="ACZ5" s="138"/>
      <c r="ADA5" s="138"/>
      <c r="ADB5" s="138"/>
      <c r="ADC5" s="138"/>
      <c r="ADD5" s="138"/>
      <c r="ADE5" s="138"/>
      <c r="ADF5" s="138"/>
      <c r="ADG5" s="138"/>
      <c r="ADH5" s="138"/>
      <c r="ADI5" s="138"/>
      <c r="ADJ5" s="138"/>
      <c r="ADK5" s="138"/>
      <c r="ADL5" s="138"/>
      <c r="ADM5" s="138"/>
      <c r="ADN5" s="138"/>
      <c r="ADO5" s="138"/>
      <c r="ADP5" s="138"/>
      <c r="ADQ5" s="138"/>
      <c r="ADR5" s="138"/>
      <c r="ADS5" s="138"/>
      <c r="ADT5" s="138"/>
      <c r="ADU5" s="138"/>
      <c r="ADV5" s="138"/>
      <c r="ADW5" s="138"/>
      <c r="ADX5" s="138"/>
      <c r="ADY5" s="138"/>
      <c r="ADZ5" s="138"/>
      <c r="AEA5" s="138"/>
      <c r="AEB5" s="138"/>
      <c r="AEC5" s="138"/>
      <c r="AED5" s="138"/>
      <c r="AEE5" s="138"/>
      <c r="AEF5" s="138"/>
      <c r="AEG5" s="138"/>
      <c r="AEH5" s="138"/>
      <c r="AEI5" s="138"/>
      <c r="AEJ5" s="138"/>
      <c r="AEK5" s="138"/>
      <c r="AEL5" s="138"/>
      <c r="AEM5" s="138"/>
      <c r="AEN5" s="138"/>
      <c r="AEO5" s="138"/>
      <c r="AEP5" s="138"/>
      <c r="AEQ5" s="138"/>
      <c r="AER5" s="138"/>
      <c r="AES5" s="138"/>
      <c r="AET5" s="138"/>
      <c r="AEU5" s="138"/>
      <c r="AEV5" s="138"/>
      <c r="AEW5" s="138"/>
      <c r="AEX5" s="138"/>
      <c r="AEY5" s="138"/>
      <c r="AEZ5" s="138"/>
      <c r="AFA5" s="138"/>
      <c r="AFB5" s="138"/>
      <c r="AFC5" s="138"/>
      <c r="AFD5" s="138"/>
      <c r="AFE5" s="138"/>
      <c r="AFF5" s="138"/>
      <c r="AFG5" s="138"/>
      <c r="AFH5" s="138"/>
      <c r="AFI5" s="138"/>
      <c r="AFJ5" s="138"/>
      <c r="AFK5" s="138"/>
      <c r="AFL5" s="138"/>
      <c r="AFM5" s="138"/>
      <c r="AFN5" s="138"/>
      <c r="AFO5" s="138"/>
      <c r="AFP5" s="138"/>
      <c r="AFQ5" s="138"/>
      <c r="AFR5" s="138"/>
      <c r="AFS5" s="138"/>
      <c r="AFT5" s="138"/>
      <c r="AFU5" s="138"/>
      <c r="AFV5" s="138"/>
      <c r="AFW5" s="138"/>
      <c r="AFX5" s="138"/>
      <c r="AFY5" s="138"/>
      <c r="AFZ5" s="138"/>
      <c r="AGA5" s="138"/>
      <c r="AGB5" s="138"/>
      <c r="AGC5" s="138"/>
      <c r="AGD5" s="138"/>
      <c r="AGE5" s="138"/>
      <c r="AGF5" s="138"/>
      <c r="AGG5" s="138"/>
      <c r="AGH5" s="138"/>
      <c r="AGI5" s="138"/>
      <c r="AGJ5" s="138"/>
      <c r="AGK5" s="138"/>
      <c r="AGL5" s="138"/>
      <c r="AGM5" s="138"/>
      <c r="AGN5" s="138"/>
      <c r="AGO5" s="138"/>
      <c r="AGP5" s="138"/>
      <c r="AGQ5" s="138"/>
      <c r="AGR5" s="138"/>
      <c r="AGS5" s="138"/>
      <c r="AGT5" s="138"/>
      <c r="AGU5" s="138"/>
      <c r="AGV5" s="138"/>
      <c r="AGW5" s="138"/>
      <c r="AGX5" s="138"/>
      <c r="AGY5" s="138"/>
      <c r="AGZ5" s="138"/>
      <c r="AHA5" s="138"/>
      <c r="AHB5" s="138"/>
      <c r="AHC5" s="138"/>
      <c r="AHD5" s="138"/>
      <c r="AHE5" s="138"/>
      <c r="AHF5" s="138"/>
      <c r="AHG5" s="138"/>
      <c r="AHH5" s="138"/>
      <c r="AHI5" s="138"/>
      <c r="AHJ5" s="138"/>
      <c r="AHK5" s="138"/>
      <c r="AHL5" s="138"/>
      <c r="AHM5" s="138"/>
      <c r="AHN5" s="138"/>
      <c r="AHO5" s="138"/>
      <c r="AHP5" s="138"/>
      <c r="AHQ5" s="138"/>
      <c r="AHR5" s="138"/>
      <c r="AHS5" s="138"/>
      <c r="AHT5" s="138"/>
      <c r="AHU5" s="138"/>
      <c r="AHV5" s="138"/>
      <c r="AHW5" s="138"/>
      <c r="AHX5" s="138"/>
      <c r="AHY5" s="138"/>
      <c r="AHZ5" s="138"/>
      <c r="AIA5" s="138"/>
      <c r="AIB5" s="138"/>
      <c r="AIC5" s="138"/>
      <c r="AID5" s="138"/>
      <c r="AIE5" s="138"/>
      <c r="AIF5" s="138"/>
      <c r="AIG5" s="138"/>
      <c r="AIH5" s="138"/>
      <c r="AII5" s="138"/>
      <c r="AIJ5" s="138"/>
      <c r="AIK5" s="138"/>
      <c r="AIL5" s="138"/>
      <c r="AIM5" s="138"/>
      <c r="AIN5" s="138"/>
      <c r="AIO5" s="138"/>
      <c r="AIP5" s="138"/>
      <c r="AIQ5" s="138"/>
      <c r="AIR5" s="138"/>
      <c r="AIS5" s="138"/>
      <c r="AIT5" s="138"/>
      <c r="AIU5" s="138"/>
      <c r="AIV5" s="138"/>
      <c r="AIW5" s="138"/>
      <c r="AIX5" s="138"/>
      <c r="AIY5" s="138"/>
      <c r="AIZ5" s="138"/>
      <c r="AJA5" s="138"/>
      <c r="AJB5" s="138"/>
      <c r="AJC5" s="138"/>
      <c r="AJD5" s="138"/>
      <c r="AJE5" s="138"/>
      <c r="AJF5" s="138"/>
      <c r="AJG5" s="138"/>
      <c r="AJH5" s="138"/>
      <c r="AJI5" s="138"/>
      <c r="AJJ5" s="138"/>
      <c r="AJK5" s="138"/>
      <c r="AJL5" s="138"/>
      <c r="AJM5" s="138"/>
      <c r="AJN5" s="138"/>
      <c r="AJO5" s="138"/>
      <c r="AJP5" s="138"/>
      <c r="AJQ5" s="138"/>
      <c r="AJR5" s="138"/>
      <c r="AJS5" s="138"/>
      <c r="AJT5" s="138"/>
      <c r="AJU5" s="138"/>
      <c r="AJV5" s="138"/>
      <c r="AJW5" s="138"/>
      <c r="AJX5" s="138"/>
      <c r="AJY5" s="138"/>
      <c r="AJZ5" s="138"/>
      <c r="AKA5" s="138"/>
      <c r="AKB5" s="138"/>
      <c r="AKC5" s="138"/>
      <c r="AKD5" s="138"/>
      <c r="AKE5" s="138"/>
      <c r="AKF5" s="138"/>
      <c r="AKG5" s="138"/>
      <c r="AKH5" s="138"/>
      <c r="AKI5" s="138"/>
      <c r="AKJ5" s="138"/>
      <c r="AKK5" s="138"/>
      <c r="AKL5" s="138"/>
      <c r="AKM5" s="138"/>
      <c r="AKN5" s="138"/>
      <c r="AKO5" s="138"/>
      <c r="AKP5" s="138"/>
      <c r="AKQ5" s="138"/>
      <c r="AKR5" s="138"/>
      <c r="AKS5" s="138"/>
      <c r="AKT5" s="138"/>
      <c r="AKU5" s="138"/>
      <c r="AKV5" s="138"/>
      <c r="AKW5" s="138"/>
      <c r="AKX5" s="138"/>
      <c r="AKY5" s="138"/>
      <c r="AKZ5" s="138"/>
      <c r="ALA5" s="138"/>
      <c r="ALB5" s="138"/>
      <c r="ALC5" s="138"/>
      <c r="ALD5" s="138"/>
      <c r="ALE5" s="138"/>
      <c r="ALF5" s="138"/>
      <c r="ALG5" s="138"/>
      <c r="ALH5" s="138"/>
      <c r="ALI5" s="138"/>
      <c r="ALJ5" s="138"/>
      <c r="ALK5" s="138"/>
      <c r="ALL5" s="138"/>
      <c r="ALM5" s="138"/>
      <c r="ALN5" s="138"/>
      <c r="ALO5" s="138"/>
      <c r="ALP5" s="138"/>
      <c r="ALQ5" s="138"/>
      <c r="ALR5" s="138"/>
      <c r="ALS5" s="138"/>
      <c r="ALT5" s="138"/>
      <c r="ALU5" s="138"/>
      <c r="ALV5" s="138"/>
      <c r="ALW5" s="138"/>
      <c r="ALX5" s="138"/>
      <c r="ALY5" s="138"/>
      <c r="ALZ5" s="138"/>
      <c r="AMA5" s="138"/>
      <c r="AMB5" s="138"/>
      <c r="AMC5" s="138"/>
      <c r="AMD5" s="138"/>
      <c r="AME5" s="138"/>
      <c r="AMF5" s="138"/>
      <c r="AMG5" s="138"/>
      <c r="AMH5" s="138"/>
      <c r="AMI5" s="138"/>
      <c r="AMJ5" s="138"/>
      <c r="AMK5" s="138"/>
      <c r="AML5" s="138"/>
      <c r="AMM5" s="138"/>
      <c r="AMN5" s="138"/>
      <c r="AMO5" s="138"/>
      <c r="AMP5" s="138"/>
      <c r="AMQ5" s="138"/>
      <c r="AMR5" s="138"/>
      <c r="AMS5" s="138"/>
      <c r="AMT5" s="138"/>
      <c r="AMU5" s="138"/>
      <c r="AMV5" s="138"/>
      <c r="AMW5" s="138"/>
      <c r="AMX5" s="138"/>
      <c r="AMY5" s="138"/>
      <c r="AMZ5" s="138"/>
      <c r="ANA5" s="138"/>
      <c r="ANB5" s="138"/>
      <c r="ANC5" s="138"/>
      <c r="AND5" s="138"/>
      <c r="ANE5" s="138"/>
      <c r="ANF5" s="138"/>
      <c r="ANG5" s="138"/>
      <c r="ANH5" s="138"/>
      <c r="ANI5" s="138"/>
      <c r="ANJ5" s="138"/>
      <c r="ANK5" s="138"/>
      <c r="ANL5" s="138"/>
      <c r="ANM5" s="138"/>
      <c r="ANN5" s="138"/>
      <c r="ANO5" s="138"/>
      <c r="ANP5" s="138"/>
      <c r="ANQ5" s="138"/>
      <c r="ANR5" s="138"/>
      <c r="ANS5" s="138"/>
      <c r="ANT5" s="138"/>
      <c r="ANU5" s="138"/>
      <c r="ANV5" s="138"/>
      <c r="ANW5" s="138"/>
      <c r="ANX5" s="138"/>
      <c r="ANY5" s="138"/>
      <c r="ANZ5" s="138"/>
      <c r="AOA5" s="138"/>
      <c r="AOB5" s="138"/>
      <c r="AOC5" s="138"/>
      <c r="AOD5" s="138"/>
      <c r="AOE5" s="138"/>
      <c r="AOF5" s="138"/>
      <c r="AOG5" s="138"/>
      <c r="AOH5" s="138"/>
      <c r="AOI5" s="138"/>
      <c r="AOJ5" s="138"/>
      <c r="AOK5" s="138"/>
      <c r="AOL5" s="138"/>
      <c r="AOM5" s="138"/>
      <c r="AON5" s="138"/>
      <c r="AOO5" s="138"/>
      <c r="AOP5" s="138"/>
      <c r="AOQ5" s="138"/>
      <c r="AOR5" s="138"/>
      <c r="AOS5" s="138"/>
      <c r="AOT5" s="138"/>
      <c r="AOU5" s="138"/>
      <c r="AOV5" s="138"/>
      <c r="AOW5" s="138"/>
      <c r="AOX5" s="138"/>
      <c r="AOY5" s="138"/>
      <c r="AOZ5" s="138"/>
      <c r="APA5" s="138"/>
      <c r="APB5" s="138"/>
      <c r="APC5" s="138"/>
      <c r="APD5" s="138"/>
      <c r="APE5" s="138"/>
      <c r="APF5" s="138"/>
      <c r="APG5" s="138"/>
      <c r="APH5" s="138"/>
      <c r="API5" s="138"/>
      <c r="APJ5" s="138"/>
      <c r="APK5" s="138"/>
      <c r="APL5" s="138"/>
      <c r="APM5" s="138"/>
      <c r="APN5" s="138"/>
      <c r="APO5" s="138"/>
      <c r="APP5" s="138"/>
      <c r="APQ5" s="138"/>
      <c r="APR5" s="138"/>
      <c r="APS5" s="138"/>
      <c r="APT5" s="138"/>
      <c r="APU5" s="138"/>
      <c r="APV5" s="138"/>
      <c r="APW5" s="138"/>
      <c r="APX5" s="138"/>
      <c r="APY5" s="138"/>
      <c r="APZ5" s="138"/>
      <c r="AQA5" s="138"/>
      <c r="AQB5" s="138"/>
      <c r="AQC5" s="138"/>
      <c r="AQD5" s="138"/>
      <c r="AQE5" s="138"/>
      <c r="AQF5" s="138"/>
      <c r="AQG5" s="138"/>
      <c r="AQH5" s="138"/>
      <c r="AQI5" s="138"/>
      <c r="AQJ5" s="138"/>
      <c r="AQK5" s="138"/>
      <c r="AQL5" s="138"/>
      <c r="AQM5" s="138"/>
      <c r="AQN5" s="138"/>
      <c r="AQO5" s="138"/>
      <c r="AQP5" s="138"/>
      <c r="AQQ5" s="138"/>
      <c r="AQR5" s="138"/>
      <c r="AQS5" s="138"/>
      <c r="AQT5" s="138"/>
      <c r="AQU5" s="138"/>
      <c r="AQV5" s="138"/>
      <c r="AQW5" s="138"/>
      <c r="AQX5" s="138"/>
      <c r="AQY5" s="138"/>
      <c r="AQZ5" s="138"/>
      <c r="ARA5" s="138"/>
      <c r="ARB5" s="138"/>
      <c r="ARC5" s="138"/>
      <c r="ARD5" s="138"/>
      <c r="ARE5" s="138"/>
      <c r="ARF5" s="138"/>
      <c r="ARG5" s="138"/>
      <c r="ARH5" s="138"/>
      <c r="ARI5" s="138"/>
      <c r="ARJ5" s="138"/>
      <c r="ARK5" s="138"/>
      <c r="ARL5" s="138"/>
      <c r="ARM5" s="138"/>
      <c r="ARN5" s="138"/>
      <c r="ARO5" s="138"/>
      <c r="ARP5" s="138"/>
      <c r="ARQ5" s="138"/>
      <c r="ARR5" s="138"/>
      <c r="ARS5" s="138"/>
      <c r="ART5" s="138"/>
      <c r="ARU5" s="138"/>
      <c r="ARV5" s="138"/>
      <c r="ARW5" s="138"/>
      <c r="ARX5" s="138"/>
      <c r="ARY5" s="138"/>
      <c r="ARZ5" s="138"/>
      <c r="ASA5" s="138"/>
      <c r="ASB5" s="138"/>
      <c r="ASC5" s="138"/>
      <c r="ASD5" s="138"/>
      <c r="ASE5" s="138"/>
      <c r="ASF5" s="138"/>
      <c r="ASG5" s="138"/>
      <c r="ASH5" s="138"/>
      <c r="ASI5" s="138"/>
      <c r="ASJ5" s="138"/>
      <c r="ASK5" s="138"/>
      <c r="ASL5" s="138"/>
      <c r="ASM5" s="138"/>
      <c r="ASN5" s="138"/>
      <c r="ASO5" s="138"/>
      <c r="ASP5" s="138"/>
      <c r="ASQ5" s="138"/>
      <c r="ASR5" s="138"/>
      <c r="ASS5" s="138"/>
      <c r="AST5" s="138"/>
      <c r="ASU5" s="138"/>
      <c r="ASV5" s="138"/>
      <c r="ASW5" s="138"/>
      <c r="ASX5" s="138"/>
      <c r="ASY5" s="138"/>
      <c r="ASZ5" s="138"/>
      <c r="ATA5" s="138"/>
      <c r="ATB5" s="138"/>
      <c r="ATC5" s="138"/>
      <c r="ATD5" s="138"/>
      <c r="ATE5" s="138"/>
      <c r="ATF5" s="138"/>
      <c r="ATG5" s="138"/>
      <c r="ATH5" s="138"/>
      <c r="ATI5" s="138"/>
      <c r="ATJ5" s="138"/>
      <c r="ATK5" s="138"/>
      <c r="ATL5" s="138"/>
      <c r="ATM5" s="138"/>
      <c r="ATN5" s="138"/>
      <c r="ATO5" s="138"/>
      <c r="ATP5" s="138"/>
      <c r="ATQ5" s="138"/>
      <c r="ATR5" s="138"/>
      <c r="ATS5" s="138"/>
      <c r="ATT5" s="138"/>
      <c r="ATU5" s="138"/>
      <c r="ATV5" s="138"/>
      <c r="ATW5" s="138"/>
      <c r="ATX5" s="138"/>
      <c r="ATY5" s="138"/>
      <c r="ATZ5" s="138"/>
      <c r="AUA5" s="138"/>
      <c r="AUB5" s="138"/>
      <c r="AUC5" s="138"/>
      <c r="AUD5" s="138"/>
      <c r="AUE5" s="138"/>
      <c r="AUF5" s="138"/>
      <c r="AUG5" s="138"/>
      <c r="AUH5" s="138"/>
      <c r="AUI5" s="138"/>
      <c r="AUJ5" s="138"/>
      <c r="AUK5" s="138"/>
      <c r="AUL5" s="138"/>
      <c r="AUM5" s="138"/>
      <c r="AUN5" s="138"/>
      <c r="AUO5" s="138"/>
      <c r="AUP5" s="138"/>
      <c r="AUQ5" s="138"/>
      <c r="AUR5" s="138"/>
      <c r="AUS5" s="138"/>
      <c r="AUT5" s="138"/>
      <c r="AUU5" s="138"/>
      <c r="AUV5" s="138"/>
      <c r="AUW5" s="138"/>
      <c r="AUX5" s="138"/>
      <c r="AUY5" s="138"/>
      <c r="AUZ5" s="138"/>
      <c r="AVA5" s="138"/>
      <c r="AVB5" s="138"/>
      <c r="AVC5" s="138"/>
      <c r="AVD5" s="138"/>
      <c r="AVE5" s="138"/>
      <c r="AVF5" s="138"/>
      <c r="AVG5" s="138"/>
      <c r="AVH5" s="138"/>
      <c r="AVI5" s="138"/>
      <c r="AVJ5" s="138"/>
      <c r="AVK5" s="138"/>
      <c r="AVL5" s="138"/>
      <c r="AVM5" s="138"/>
      <c r="AVN5" s="138"/>
      <c r="AVO5" s="138"/>
      <c r="AVP5" s="138"/>
      <c r="AVQ5" s="138"/>
      <c r="AVR5" s="138"/>
      <c r="AVS5" s="138"/>
      <c r="AVT5" s="138"/>
      <c r="AVU5" s="138"/>
      <c r="AVV5" s="138"/>
      <c r="AVW5" s="138"/>
      <c r="AVX5" s="138"/>
      <c r="AVY5" s="138"/>
      <c r="AVZ5" s="138"/>
      <c r="AWA5" s="138"/>
      <c r="AWB5" s="138"/>
      <c r="AWC5" s="138"/>
      <c r="AWD5" s="138"/>
      <c r="AWE5" s="138"/>
      <c r="AWF5" s="138"/>
      <c r="AWG5" s="138"/>
      <c r="AWH5" s="138"/>
      <c r="AWI5" s="138"/>
      <c r="AWJ5" s="138"/>
      <c r="AWK5" s="138"/>
      <c r="AWL5" s="138"/>
      <c r="AWM5" s="138"/>
      <c r="AWN5" s="138"/>
      <c r="AWO5" s="138"/>
      <c r="AWP5" s="138"/>
      <c r="AWQ5" s="138"/>
      <c r="AWR5" s="138"/>
      <c r="AWS5" s="138"/>
      <c r="AWT5" s="138"/>
      <c r="AWU5" s="138"/>
      <c r="AWV5" s="138"/>
      <c r="AWW5" s="138"/>
      <c r="AWX5" s="138"/>
      <c r="AWY5" s="138"/>
      <c r="AWZ5" s="138"/>
      <c r="AXA5" s="138"/>
      <c r="AXB5" s="138"/>
      <c r="AXC5" s="138"/>
      <c r="AXD5" s="138"/>
      <c r="AXE5" s="138"/>
      <c r="AXF5" s="138"/>
      <c r="AXG5" s="138"/>
      <c r="AXH5" s="138"/>
      <c r="AXI5" s="138"/>
      <c r="AXJ5" s="138"/>
      <c r="AXK5" s="138"/>
      <c r="AXL5" s="138"/>
      <c r="AXM5" s="138"/>
      <c r="AXN5" s="138"/>
      <c r="AXO5" s="138"/>
      <c r="AXP5" s="138"/>
      <c r="AXQ5" s="138"/>
      <c r="AXR5" s="138"/>
      <c r="AXS5" s="138"/>
      <c r="AXT5" s="138"/>
      <c r="AXU5" s="138"/>
      <c r="AXV5" s="138"/>
      <c r="AXW5" s="138"/>
      <c r="AXX5" s="138"/>
      <c r="AXY5" s="138"/>
      <c r="AXZ5" s="138"/>
      <c r="AYA5" s="138"/>
      <c r="AYB5" s="138"/>
      <c r="AYC5" s="138"/>
      <c r="AYD5" s="138"/>
      <c r="AYE5" s="138"/>
      <c r="AYF5" s="138"/>
      <c r="AYG5" s="138"/>
      <c r="AYH5" s="138"/>
      <c r="AYI5" s="138"/>
      <c r="AYJ5" s="138"/>
      <c r="AYK5" s="138"/>
      <c r="AYL5" s="138"/>
      <c r="AYM5" s="138"/>
      <c r="AYN5" s="138"/>
      <c r="AYO5" s="138"/>
      <c r="AYP5" s="138"/>
      <c r="AYQ5" s="138"/>
      <c r="AYR5" s="138"/>
      <c r="AYS5" s="138"/>
      <c r="AYT5" s="138"/>
      <c r="AYU5" s="138"/>
      <c r="AYV5" s="138"/>
      <c r="AYW5" s="138"/>
      <c r="AYX5" s="138"/>
      <c r="AYY5" s="138"/>
      <c r="AYZ5" s="138"/>
      <c r="AZA5" s="138"/>
      <c r="AZB5" s="138"/>
      <c r="AZC5" s="138"/>
      <c r="AZD5" s="138"/>
      <c r="AZE5" s="138"/>
      <c r="AZF5" s="138"/>
      <c r="AZG5" s="138"/>
      <c r="AZH5" s="138"/>
      <c r="AZI5" s="138"/>
      <c r="AZJ5" s="138"/>
      <c r="AZK5" s="138"/>
      <c r="AZL5" s="138"/>
      <c r="AZM5" s="138"/>
      <c r="AZN5" s="138"/>
      <c r="AZO5" s="138"/>
      <c r="AZP5" s="138"/>
      <c r="AZQ5" s="138"/>
      <c r="AZR5" s="138"/>
      <c r="AZS5" s="138"/>
      <c r="AZT5" s="138"/>
      <c r="AZU5" s="138"/>
      <c r="AZV5" s="138"/>
      <c r="AZW5" s="138"/>
      <c r="AZX5" s="138"/>
      <c r="AZY5" s="138"/>
      <c r="AZZ5" s="138"/>
      <c r="BAA5" s="138"/>
      <c r="BAB5" s="138"/>
      <c r="BAC5" s="138"/>
      <c r="BAD5" s="138"/>
      <c r="BAE5" s="138"/>
      <c r="BAF5" s="138"/>
      <c r="BAG5" s="138"/>
      <c r="BAH5" s="138"/>
      <c r="BAI5" s="138"/>
      <c r="BAJ5" s="138"/>
      <c r="BAK5" s="138"/>
      <c r="BAL5" s="138"/>
      <c r="BAM5" s="138"/>
      <c r="BAN5" s="138"/>
      <c r="BAO5" s="138"/>
      <c r="BAP5" s="138"/>
      <c r="BAQ5" s="138"/>
      <c r="BAR5" s="138"/>
      <c r="BAS5" s="138"/>
      <c r="BAT5" s="138"/>
      <c r="BAU5" s="138"/>
      <c r="BAV5" s="138"/>
      <c r="BAW5" s="138"/>
      <c r="BAX5" s="138"/>
      <c r="BAY5" s="138"/>
      <c r="BAZ5" s="138"/>
      <c r="BBA5" s="138"/>
      <c r="BBB5" s="138"/>
      <c r="BBC5" s="138"/>
      <c r="BBD5" s="138"/>
      <c r="BBE5" s="138"/>
      <c r="BBF5" s="138"/>
      <c r="BBG5" s="138"/>
      <c r="BBH5" s="138"/>
      <c r="BBI5" s="138"/>
      <c r="BBJ5" s="138"/>
      <c r="BBK5" s="138"/>
      <c r="BBL5" s="138"/>
      <c r="BBM5" s="138"/>
      <c r="BBN5" s="138"/>
      <c r="BBO5" s="138"/>
      <c r="BBP5" s="138"/>
      <c r="BBQ5" s="138"/>
      <c r="BBR5" s="138"/>
      <c r="BBS5" s="138"/>
      <c r="BBT5" s="138"/>
      <c r="BBU5" s="138"/>
      <c r="BBV5" s="138"/>
      <c r="BBW5" s="138"/>
      <c r="BBX5" s="138"/>
      <c r="BBY5" s="138"/>
      <c r="BBZ5" s="138"/>
      <c r="BCA5" s="138"/>
      <c r="BCB5" s="138"/>
      <c r="BCC5" s="138"/>
      <c r="BCD5" s="138"/>
      <c r="BCE5" s="138"/>
      <c r="BCF5" s="138"/>
      <c r="BCG5" s="138"/>
      <c r="BCH5" s="138"/>
      <c r="BCI5" s="138"/>
      <c r="BCJ5" s="138"/>
      <c r="BCK5" s="138"/>
      <c r="BCL5" s="138"/>
      <c r="BCM5" s="138"/>
      <c r="BCN5" s="138"/>
      <c r="BCO5" s="138"/>
      <c r="BCP5" s="138"/>
      <c r="BCQ5" s="138"/>
      <c r="BCR5" s="138"/>
      <c r="BCS5" s="138"/>
      <c r="BCT5" s="138"/>
      <c r="BCU5" s="138"/>
      <c r="BCV5" s="138"/>
      <c r="BCW5" s="138"/>
      <c r="BCX5" s="138"/>
      <c r="BCY5" s="138"/>
      <c r="BCZ5" s="138"/>
      <c r="BDA5" s="138"/>
      <c r="BDB5" s="138"/>
      <c r="BDC5" s="138"/>
      <c r="BDD5" s="138"/>
      <c r="BDE5" s="138"/>
      <c r="BDF5" s="138"/>
      <c r="BDG5" s="138"/>
      <c r="BDH5" s="138"/>
      <c r="BDI5" s="138"/>
      <c r="BDJ5" s="138"/>
      <c r="BDK5" s="138"/>
      <c r="BDL5" s="138"/>
      <c r="BDM5" s="138"/>
      <c r="BDN5" s="138"/>
      <c r="BDO5" s="138"/>
      <c r="BDP5" s="138"/>
      <c r="BDQ5" s="138"/>
      <c r="BDR5" s="138"/>
      <c r="BDS5" s="138"/>
      <c r="BDT5" s="138"/>
      <c r="BDU5" s="138"/>
      <c r="BDV5" s="138"/>
      <c r="BDW5" s="138"/>
      <c r="BDX5" s="138"/>
      <c r="BDY5" s="138"/>
      <c r="BDZ5" s="138"/>
      <c r="BEA5" s="138"/>
      <c r="BEB5" s="138"/>
      <c r="BEC5" s="138"/>
      <c r="BED5" s="138"/>
      <c r="BEE5" s="138"/>
      <c r="BEF5" s="138"/>
      <c r="BEG5" s="138"/>
      <c r="BEH5" s="138"/>
      <c r="BEI5" s="138"/>
      <c r="BEJ5" s="138"/>
      <c r="BEK5" s="138"/>
      <c r="BEL5" s="138"/>
      <c r="BEM5" s="138"/>
      <c r="BEN5" s="138"/>
      <c r="BEO5" s="138"/>
      <c r="BEP5" s="138"/>
      <c r="BEQ5" s="138"/>
      <c r="BER5" s="138"/>
      <c r="BES5" s="138"/>
      <c r="BET5" s="138"/>
      <c r="BEU5" s="138"/>
      <c r="BEV5" s="138"/>
      <c r="BEW5" s="138"/>
      <c r="BEX5" s="138"/>
      <c r="BEY5" s="138"/>
      <c r="BEZ5" s="138"/>
      <c r="BFA5" s="138"/>
      <c r="BFB5" s="138"/>
      <c r="BFC5" s="138"/>
      <c r="BFD5" s="138"/>
      <c r="BFE5" s="138"/>
      <c r="BFF5" s="138"/>
      <c r="BFG5" s="138"/>
      <c r="BFH5" s="138"/>
      <c r="BFI5" s="138"/>
      <c r="BFJ5" s="138"/>
      <c r="BFK5" s="138"/>
      <c r="BFL5" s="138"/>
      <c r="BFM5" s="138"/>
      <c r="BFN5" s="138"/>
      <c r="BFO5" s="138"/>
      <c r="BFP5" s="138"/>
      <c r="BFQ5" s="138"/>
      <c r="BFR5" s="138"/>
      <c r="BFS5" s="138"/>
      <c r="BFT5" s="138"/>
      <c r="BFU5" s="138"/>
      <c r="BFV5" s="138"/>
      <c r="BFW5" s="138"/>
      <c r="BFX5" s="138"/>
      <c r="BFY5" s="138"/>
      <c r="BFZ5" s="138"/>
      <c r="BGA5" s="138"/>
      <c r="BGB5" s="138"/>
      <c r="BGC5" s="138"/>
      <c r="BGD5" s="138"/>
      <c r="BGE5" s="138"/>
      <c r="BGF5" s="138"/>
      <c r="BGG5" s="138"/>
      <c r="BGH5" s="138"/>
      <c r="BGI5" s="138"/>
      <c r="BGJ5" s="138"/>
      <c r="BGK5" s="138"/>
      <c r="BGL5" s="138"/>
      <c r="BGM5" s="138"/>
      <c r="BGN5" s="138"/>
      <c r="BGO5" s="138"/>
      <c r="BGP5" s="138"/>
      <c r="BGQ5" s="138"/>
      <c r="BGR5" s="138"/>
      <c r="BGS5" s="138"/>
      <c r="BGT5" s="138"/>
      <c r="BGU5" s="138"/>
      <c r="BGV5" s="138"/>
      <c r="BGW5" s="138"/>
      <c r="BGX5" s="138"/>
      <c r="BGY5" s="138"/>
      <c r="BGZ5" s="138"/>
      <c r="BHA5" s="138"/>
      <c r="BHB5" s="138"/>
      <c r="BHC5" s="138"/>
      <c r="BHD5" s="138"/>
      <c r="BHE5" s="138"/>
      <c r="BHF5" s="138"/>
      <c r="BHG5" s="138"/>
      <c r="BHH5" s="138"/>
      <c r="BHI5" s="138"/>
      <c r="BHJ5" s="138"/>
      <c r="BHK5" s="138"/>
      <c r="BHL5" s="138"/>
      <c r="BHM5" s="138"/>
      <c r="BHN5" s="138"/>
      <c r="BHO5" s="138"/>
      <c r="BHP5" s="138"/>
      <c r="BHQ5" s="138"/>
      <c r="BHR5" s="138"/>
      <c r="BHS5" s="138"/>
      <c r="BHT5" s="138"/>
      <c r="BHU5" s="138"/>
      <c r="BHV5" s="138"/>
      <c r="BHW5" s="138"/>
      <c r="BHX5" s="138"/>
      <c r="BHY5" s="138"/>
      <c r="BHZ5" s="138"/>
      <c r="BIA5" s="138"/>
      <c r="BIB5" s="138"/>
      <c r="BIC5" s="138"/>
      <c r="BID5" s="138"/>
      <c r="BIE5" s="138"/>
      <c r="BIF5" s="138"/>
      <c r="BIG5" s="138"/>
      <c r="BIH5" s="138"/>
      <c r="BII5" s="138"/>
      <c r="BIJ5" s="138"/>
      <c r="BIK5" s="138"/>
      <c r="BIL5" s="138"/>
      <c r="BIM5" s="138"/>
      <c r="BIN5" s="138"/>
      <c r="BIO5" s="138"/>
      <c r="BIP5" s="138"/>
      <c r="BIQ5" s="138"/>
      <c r="BIR5" s="138"/>
      <c r="BIS5" s="138"/>
      <c r="BIT5" s="138"/>
      <c r="BIU5" s="138"/>
      <c r="BIV5" s="138"/>
      <c r="BIW5" s="138"/>
      <c r="BIX5" s="138"/>
      <c r="BIY5" s="138"/>
      <c r="BIZ5" s="138"/>
      <c r="BJA5" s="138"/>
      <c r="BJB5" s="138"/>
      <c r="BJC5" s="138"/>
      <c r="BJD5" s="138"/>
      <c r="BJE5" s="138"/>
      <c r="BJF5" s="138"/>
      <c r="BJG5" s="138"/>
      <c r="BJH5" s="138"/>
      <c r="BJI5" s="138"/>
      <c r="BJJ5" s="138"/>
      <c r="BJK5" s="138"/>
      <c r="BJL5" s="138"/>
      <c r="BJM5" s="138"/>
      <c r="BJN5" s="138"/>
      <c r="BJO5" s="138"/>
      <c r="BJP5" s="138"/>
      <c r="BJQ5" s="138"/>
      <c r="BJR5" s="138"/>
      <c r="BJS5" s="138"/>
      <c r="BJT5" s="138"/>
      <c r="BJU5" s="138"/>
      <c r="BJV5" s="138"/>
      <c r="BJW5" s="138"/>
      <c r="BJX5" s="138"/>
      <c r="BJY5" s="138"/>
      <c r="BJZ5" s="138"/>
      <c r="BKA5" s="138"/>
      <c r="BKB5" s="138"/>
      <c r="BKC5" s="138"/>
      <c r="BKD5" s="138"/>
      <c r="BKE5" s="138"/>
      <c r="BKF5" s="138"/>
      <c r="BKG5" s="138"/>
      <c r="BKH5" s="138"/>
      <c r="BKI5" s="138"/>
      <c r="BKJ5" s="138"/>
      <c r="BKK5" s="138"/>
      <c r="BKL5" s="138"/>
      <c r="BKM5" s="138"/>
      <c r="BKN5" s="138"/>
      <c r="BKO5" s="138"/>
      <c r="BKP5" s="138"/>
      <c r="BKQ5" s="138"/>
      <c r="BKR5" s="138"/>
      <c r="BKS5" s="138"/>
      <c r="BKT5" s="138"/>
      <c r="BKU5" s="138"/>
      <c r="BKV5" s="138"/>
      <c r="BKW5" s="138"/>
      <c r="BKX5" s="138"/>
      <c r="BKY5" s="138"/>
      <c r="BKZ5" s="138"/>
      <c r="BLA5" s="138"/>
      <c r="BLB5" s="138"/>
      <c r="BLC5" s="138"/>
      <c r="BLD5" s="138"/>
      <c r="BLE5" s="138"/>
      <c r="BLF5" s="138"/>
      <c r="BLG5" s="138"/>
      <c r="BLH5" s="138"/>
      <c r="BLI5" s="138"/>
      <c r="BLJ5" s="138"/>
      <c r="BLK5" s="138"/>
      <c r="BLL5" s="138"/>
      <c r="BLM5" s="138"/>
      <c r="BLN5" s="138"/>
      <c r="BLO5" s="138"/>
      <c r="BLP5" s="138"/>
      <c r="BLQ5" s="138"/>
      <c r="BLR5" s="138"/>
      <c r="BLS5" s="138"/>
      <c r="BLT5" s="138"/>
      <c r="BLU5" s="138"/>
      <c r="BLV5" s="138"/>
      <c r="BLW5" s="138"/>
      <c r="BLX5" s="138"/>
      <c r="BLY5" s="138"/>
      <c r="BLZ5" s="138"/>
      <c r="BMA5" s="138"/>
      <c r="BMB5" s="138"/>
      <c r="BMC5" s="138"/>
      <c r="BMD5" s="138"/>
      <c r="BME5" s="138"/>
      <c r="BMF5" s="138"/>
      <c r="BMG5" s="138"/>
      <c r="BMH5" s="138"/>
      <c r="BMI5" s="138"/>
      <c r="BMJ5" s="138"/>
      <c r="BMK5" s="138"/>
      <c r="BML5" s="138"/>
      <c r="BMM5" s="138"/>
      <c r="BMN5" s="138"/>
      <c r="BMO5" s="138"/>
      <c r="BMP5" s="138"/>
      <c r="BMQ5" s="138"/>
      <c r="BMR5" s="138"/>
      <c r="BMS5" s="138"/>
      <c r="BMT5" s="138"/>
      <c r="BMU5" s="138"/>
      <c r="BMV5" s="138"/>
      <c r="BMW5" s="138"/>
      <c r="BMX5" s="138"/>
      <c r="BMY5" s="138"/>
      <c r="BMZ5" s="138"/>
      <c r="BNA5" s="138"/>
      <c r="BNB5" s="138"/>
      <c r="BNC5" s="138"/>
      <c r="BND5" s="138"/>
      <c r="BNE5" s="138"/>
      <c r="BNF5" s="138"/>
      <c r="BNG5" s="138"/>
      <c r="BNH5" s="138"/>
      <c r="BNI5" s="138"/>
      <c r="BNJ5" s="138"/>
      <c r="BNK5" s="138"/>
      <c r="BNL5" s="138"/>
      <c r="BNM5" s="138"/>
      <c r="BNN5" s="138"/>
      <c r="BNO5" s="138"/>
      <c r="BNP5" s="138"/>
      <c r="BNQ5" s="138"/>
      <c r="BNR5" s="138"/>
      <c r="BNS5" s="138"/>
      <c r="BNT5" s="138"/>
      <c r="BNU5" s="138"/>
      <c r="BNV5" s="138"/>
      <c r="BNW5" s="138"/>
      <c r="BNX5" s="138"/>
      <c r="BNY5" s="138"/>
      <c r="BNZ5" s="138"/>
      <c r="BOA5" s="138"/>
      <c r="BOB5" s="138"/>
      <c r="BOC5" s="138"/>
      <c r="BOD5" s="138"/>
      <c r="BOE5" s="138"/>
      <c r="BOF5" s="138"/>
      <c r="BOG5" s="138"/>
      <c r="BOH5" s="138"/>
      <c r="BOI5" s="138"/>
      <c r="BOJ5" s="138"/>
      <c r="BOK5" s="138"/>
      <c r="BOL5" s="138"/>
      <c r="BOM5" s="138"/>
      <c r="BON5" s="138"/>
      <c r="BOO5" s="138"/>
      <c r="BOP5" s="138"/>
      <c r="BOQ5" s="138"/>
      <c r="BOR5" s="138"/>
      <c r="BOS5" s="138"/>
      <c r="BOT5" s="138"/>
      <c r="BOU5" s="138"/>
      <c r="BOV5" s="138"/>
      <c r="BOW5" s="138"/>
      <c r="BOX5" s="138"/>
      <c r="BOY5" s="138"/>
      <c r="BOZ5" s="138"/>
      <c r="BPA5" s="138"/>
      <c r="BPB5" s="138"/>
      <c r="BPC5" s="138"/>
      <c r="BPD5" s="138"/>
      <c r="BPE5" s="138"/>
      <c r="BPF5" s="138"/>
      <c r="BPG5" s="138"/>
      <c r="BPH5" s="138"/>
      <c r="BPI5" s="138"/>
      <c r="BPJ5" s="138"/>
      <c r="BPK5" s="138"/>
      <c r="BPL5" s="138"/>
      <c r="BPM5" s="138"/>
      <c r="BPN5" s="138"/>
      <c r="BPO5" s="138"/>
      <c r="BPP5" s="138"/>
      <c r="BPQ5" s="138"/>
      <c r="BPR5" s="138"/>
      <c r="BPS5" s="138"/>
      <c r="BPT5" s="138"/>
      <c r="BPU5" s="138"/>
      <c r="BPV5" s="138"/>
      <c r="BPW5" s="138"/>
      <c r="BPX5" s="138"/>
      <c r="BPY5" s="138"/>
      <c r="BPZ5" s="138"/>
      <c r="BQA5" s="138"/>
      <c r="BQB5" s="138"/>
      <c r="BQC5" s="138"/>
      <c r="BQD5" s="138"/>
      <c r="BQE5" s="138"/>
      <c r="BQF5" s="138"/>
      <c r="BQG5" s="138"/>
      <c r="BQH5" s="138"/>
      <c r="BQI5" s="138"/>
      <c r="BQJ5" s="138"/>
      <c r="BQK5" s="138"/>
      <c r="BQL5" s="138"/>
      <c r="BQM5" s="138"/>
      <c r="BQN5" s="138"/>
      <c r="BQO5" s="138"/>
      <c r="BQP5" s="138"/>
      <c r="BQQ5" s="138"/>
      <c r="BQR5" s="138"/>
      <c r="BQS5" s="138"/>
      <c r="BQT5" s="138"/>
      <c r="BQU5" s="138"/>
      <c r="BQV5" s="138"/>
      <c r="BQW5" s="138"/>
      <c r="BQX5" s="138"/>
      <c r="BQY5" s="138"/>
      <c r="BQZ5" s="138"/>
      <c r="BRA5" s="138"/>
      <c r="BRB5" s="138"/>
      <c r="BRC5" s="138"/>
      <c r="BRD5" s="138"/>
      <c r="BRE5" s="138"/>
      <c r="BRF5" s="138"/>
      <c r="BRG5" s="138"/>
      <c r="BRH5" s="138"/>
      <c r="BRI5" s="138"/>
      <c r="BRJ5" s="138"/>
      <c r="BRK5" s="138"/>
      <c r="BRL5" s="138"/>
      <c r="BRM5" s="138"/>
      <c r="BRN5" s="138"/>
      <c r="BRO5" s="138"/>
      <c r="BRP5" s="138"/>
      <c r="BRQ5" s="138"/>
      <c r="BRR5" s="138"/>
      <c r="BRS5" s="138"/>
      <c r="BRT5" s="138"/>
      <c r="BRU5" s="138"/>
      <c r="BRV5" s="138"/>
      <c r="BRW5" s="138"/>
      <c r="BRX5" s="138"/>
      <c r="BRY5" s="138"/>
      <c r="BRZ5" s="138"/>
      <c r="BSA5" s="138"/>
      <c r="BSB5" s="138"/>
      <c r="BSC5" s="138"/>
      <c r="BSD5" s="138"/>
      <c r="BSE5" s="138"/>
      <c r="BSF5" s="138"/>
      <c r="BSG5" s="138"/>
      <c r="BSH5" s="138"/>
      <c r="BSI5" s="138"/>
      <c r="BSJ5" s="138"/>
      <c r="BSK5" s="138"/>
      <c r="BSL5" s="138"/>
      <c r="BSM5" s="138"/>
      <c r="BSN5" s="138"/>
      <c r="BSO5" s="138"/>
      <c r="BSP5" s="138"/>
      <c r="BSQ5" s="138"/>
      <c r="BSR5" s="138"/>
      <c r="BSS5" s="138"/>
      <c r="BST5" s="138"/>
      <c r="BSU5" s="138"/>
      <c r="BSV5" s="138"/>
      <c r="BSW5" s="138"/>
      <c r="BSX5" s="138"/>
      <c r="BSY5" s="138"/>
      <c r="BSZ5" s="138"/>
      <c r="BTA5" s="138"/>
      <c r="BTB5" s="138"/>
      <c r="BTC5" s="138"/>
      <c r="BTD5" s="138"/>
      <c r="BTE5" s="138"/>
      <c r="BTF5" s="138"/>
      <c r="BTG5" s="138"/>
      <c r="BTH5" s="138"/>
      <c r="BTI5" s="138"/>
      <c r="BTJ5" s="138"/>
      <c r="BTK5" s="138"/>
      <c r="BTL5" s="138"/>
      <c r="BTM5" s="138"/>
      <c r="BTN5" s="138"/>
      <c r="BTO5" s="138"/>
      <c r="BTP5" s="138"/>
      <c r="BTQ5" s="138"/>
      <c r="BTR5" s="138"/>
      <c r="BTS5" s="138"/>
      <c r="BTT5" s="138"/>
      <c r="BTU5" s="138"/>
      <c r="BTV5" s="138"/>
      <c r="BTW5" s="138"/>
      <c r="BTX5" s="138"/>
      <c r="BTY5" s="138"/>
      <c r="BTZ5" s="138"/>
      <c r="BUA5" s="138"/>
      <c r="BUB5" s="138"/>
      <c r="BUC5" s="138"/>
      <c r="BUD5" s="138"/>
      <c r="BUE5" s="138"/>
      <c r="BUF5" s="138"/>
      <c r="BUG5" s="138"/>
      <c r="BUH5" s="138"/>
      <c r="BUI5" s="138"/>
      <c r="BUJ5" s="138"/>
      <c r="BUK5" s="138"/>
      <c r="BUL5" s="138"/>
      <c r="BUM5" s="138"/>
      <c r="BUN5" s="138"/>
      <c r="BUO5" s="138"/>
      <c r="BUP5" s="138"/>
      <c r="BUQ5" s="138"/>
      <c r="BUR5" s="138"/>
      <c r="BUS5" s="138"/>
      <c r="BUT5" s="138"/>
      <c r="BUU5" s="138"/>
      <c r="BUV5" s="138"/>
      <c r="BUW5" s="138"/>
      <c r="BUX5" s="138"/>
      <c r="BUY5" s="138"/>
      <c r="BUZ5" s="138"/>
      <c r="BVA5" s="138"/>
      <c r="BVB5" s="138"/>
      <c r="BVC5" s="138"/>
      <c r="BVD5" s="138"/>
      <c r="BVE5" s="138"/>
      <c r="BVF5" s="138"/>
      <c r="BVG5" s="138"/>
      <c r="BVH5" s="138"/>
      <c r="BVI5" s="138"/>
      <c r="BVJ5" s="138"/>
      <c r="BVK5" s="138"/>
      <c r="BVL5" s="138"/>
      <c r="BVM5" s="138"/>
      <c r="BVN5" s="138"/>
      <c r="BVO5" s="138"/>
      <c r="BVP5" s="138"/>
      <c r="BVQ5" s="138"/>
      <c r="BVR5" s="138"/>
      <c r="BVS5" s="138"/>
      <c r="BVT5" s="138"/>
      <c r="BVU5" s="138"/>
      <c r="BVV5" s="138"/>
      <c r="BVW5" s="138"/>
      <c r="BVX5" s="138"/>
      <c r="BVY5" s="138"/>
      <c r="BVZ5" s="138"/>
      <c r="BWA5" s="138"/>
      <c r="BWB5" s="138"/>
      <c r="BWC5" s="138"/>
      <c r="BWD5" s="138"/>
      <c r="BWE5" s="138"/>
      <c r="BWF5" s="138"/>
      <c r="BWG5" s="138"/>
      <c r="BWH5" s="138"/>
      <c r="BWI5" s="138"/>
      <c r="BWJ5" s="138"/>
      <c r="BWK5" s="138"/>
      <c r="BWL5" s="138"/>
      <c r="BWM5" s="138"/>
      <c r="BWN5" s="138"/>
      <c r="BWO5" s="138"/>
      <c r="BWP5" s="138"/>
      <c r="BWQ5" s="138"/>
      <c r="BWR5" s="138"/>
      <c r="BWS5" s="138"/>
      <c r="BWT5" s="138"/>
      <c r="BWU5" s="138"/>
      <c r="BWV5" s="138"/>
      <c r="BWW5" s="138"/>
      <c r="BWX5" s="138"/>
      <c r="BWY5" s="138"/>
      <c r="BWZ5" s="138"/>
      <c r="BXA5" s="138"/>
      <c r="BXB5" s="138"/>
      <c r="BXC5" s="138"/>
      <c r="BXD5" s="138"/>
      <c r="BXE5" s="138"/>
      <c r="BXF5" s="138"/>
      <c r="BXG5" s="138"/>
      <c r="BXH5" s="138"/>
      <c r="BXI5" s="138"/>
      <c r="BXJ5" s="138"/>
      <c r="BXK5" s="138"/>
      <c r="BXL5" s="138"/>
      <c r="BXM5" s="138"/>
      <c r="BXN5" s="138"/>
      <c r="BXO5" s="138"/>
      <c r="BXP5" s="138"/>
      <c r="BXQ5" s="138"/>
      <c r="BXR5" s="138"/>
      <c r="BXS5" s="138"/>
      <c r="BXT5" s="138"/>
      <c r="BXU5" s="138"/>
      <c r="BXV5" s="138"/>
      <c r="BXW5" s="138"/>
      <c r="BXX5" s="138"/>
      <c r="BXY5" s="138"/>
      <c r="BXZ5" s="138"/>
      <c r="BYA5" s="138"/>
      <c r="BYB5" s="138"/>
      <c r="BYC5" s="138"/>
      <c r="BYD5" s="138"/>
      <c r="BYE5" s="138"/>
      <c r="BYF5" s="138"/>
      <c r="BYG5" s="138"/>
      <c r="BYH5" s="138"/>
      <c r="BYI5" s="138"/>
      <c r="BYJ5" s="138"/>
      <c r="BYK5" s="138"/>
      <c r="BYL5" s="138"/>
      <c r="BYM5" s="138"/>
      <c r="BYN5" s="138"/>
      <c r="BYO5" s="138"/>
      <c r="BYP5" s="138"/>
      <c r="BYQ5" s="138"/>
      <c r="BYR5" s="138"/>
      <c r="BYS5" s="138"/>
      <c r="BYT5" s="138"/>
      <c r="BYU5" s="138"/>
      <c r="BYV5" s="138"/>
      <c r="BYW5" s="138"/>
      <c r="BYX5" s="138"/>
      <c r="BYY5" s="138"/>
      <c r="BYZ5" s="138"/>
      <c r="BZA5" s="138"/>
      <c r="BZB5" s="138"/>
      <c r="BZC5" s="138"/>
      <c r="BZD5" s="138"/>
      <c r="BZE5" s="138"/>
      <c r="BZF5" s="138"/>
      <c r="BZG5" s="138"/>
      <c r="BZH5" s="138"/>
      <c r="BZI5" s="138"/>
      <c r="BZJ5" s="138"/>
      <c r="BZK5" s="138"/>
      <c r="BZL5" s="138"/>
      <c r="BZM5" s="138"/>
      <c r="BZN5" s="138"/>
      <c r="BZO5" s="138"/>
      <c r="BZP5" s="138"/>
      <c r="BZQ5" s="138"/>
      <c r="BZR5" s="138"/>
      <c r="BZS5" s="138"/>
      <c r="BZT5" s="138"/>
      <c r="BZU5" s="138"/>
      <c r="BZV5" s="138"/>
      <c r="BZW5" s="138"/>
      <c r="BZX5" s="138"/>
      <c r="BZY5" s="138"/>
      <c r="BZZ5" s="138"/>
      <c r="CAA5" s="138"/>
      <c r="CAB5" s="138"/>
      <c r="CAC5" s="138"/>
      <c r="CAD5" s="138"/>
      <c r="CAE5" s="138"/>
      <c r="CAF5" s="138"/>
      <c r="CAG5" s="138"/>
      <c r="CAH5" s="138"/>
      <c r="CAI5" s="138"/>
      <c r="CAJ5" s="138"/>
      <c r="CAK5" s="138"/>
      <c r="CAL5" s="138"/>
      <c r="CAM5" s="138"/>
      <c r="CAN5" s="138"/>
      <c r="CAO5" s="138"/>
      <c r="CAP5" s="138"/>
      <c r="CAQ5" s="138"/>
      <c r="CAR5" s="138"/>
      <c r="CAS5" s="138"/>
      <c r="CAT5" s="138"/>
      <c r="CAU5" s="138"/>
      <c r="CAV5" s="138"/>
      <c r="CAW5" s="138"/>
      <c r="CAX5" s="138"/>
      <c r="CAY5" s="138"/>
      <c r="CAZ5" s="138"/>
      <c r="CBA5" s="138"/>
      <c r="CBB5" s="138"/>
      <c r="CBC5" s="138"/>
      <c r="CBD5" s="138"/>
      <c r="CBE5" s="138"/>
      <c r="CBF5" s="138"/>
      <c r="CBG5" s="138"/>
      <c r="CBH5" s="138"/>
      <c r="CBI5" s="138"/>
      <c r="CBJ5" s="138"/>
      <c r="CBK5" s="138"/>
      <c r="CBL5" s="138"/>
      <c r="CBM5" s="138"/>
      <c r="CBN5" s="138"/>
      <c r="CBO5" s="138"/>
      <c r="CBP5" s="138"/>
      <c r="CBQ5" s="138"/>
      <c r="CBR5" s="138"/>
      <c r="CBS5" s="138"/>
      <c r="CBT5" s="138"/>
      <c r="CBU5" s="138"/>
      <c r="CBV5" s="138"/>
      <c r="CBW5" s="138"/>
      <c r="CBX5" s="138"/>
      <c r="CBY5" s="138"/>
      <c r="CBZ5" s="138"/>
      <c r="CCA5" s="138"/>
      <c r="CCB5" s="138"/>
      <c r="CCC5" s="138"/>
      <c r="CCD5" s="138"/>
      <c r="CCE5" s="138"/>
      <c r="CCF5" s="138"/>
      <c r="CCG5" s="138"/>
      <c r="CCH5" s="138"/>
      <c r="CCI5" s="138"/>
      <c r="CCJ5" s="138"/>
      <c r="CCK5" s="138"/>
      <c r="CCL5" s="138"/>
      <c r="CCM5" s="138"/>
      <c r="CCN5" s="138"/>
      <c r="CCO5" s="138"/>
      <c r="CCP5" s="138"/>
      <c r="CCQ5" s="138"/>
      <c r="CCR5" s="138"/>
      <c r="CCS5" s="138"/>
      <c r="CCT5" s="138"/>
      <c r="CCU5" s="138"/>
      <c r="CCV5" s="138"/>
      <c r="CCW5" s="138"/>
      <c r="CCX5" s="138"/>
      <c r="CCY5" s="138"/>
      <c r="CCZ5" s="138"/>
      <c r="CDA5" s="138"/>
      <c r="CDB5" s="138"/>
      <c r="CDC5" s="138"/>
      <c r="CDD5" s="138"/>
      <c r="CDE5" s="138"/>
      <c r="CDF5" s="138"/>
      <c r="CDG5" s="138"/>
      <c r="CDH5" s="138"/>
      <c r="CDI5" s="138"/>
      <c r="CDJ5" s="138"/>
      <c r="CDK5" s="138"/>
      <c r="CDL5" s="138"/>
      <c r="CDM5" s="138"/>
      <c r="CDN5" s="138"/>
      <c r="CDO5" s="138"/>
      <c r="CDP5" s="138"/>
      <c r="CDQ5" s="138"/>
      <c r="CDR5" s="138"/>
      <c r="CDS5" s="138"/>
      <c r="CDT5" s="138"/>
      <c r="CDU5" s="138"/>
      <c r="CDV5" s="138"/>
      <c r="CDW5" s="138"/>
      <c r="CDX5" s="138"/>
      <c r="CDY5" s="138"/>
      <c r="CDZ5" s="138"/>
      <c r="CEA5" s="138"/>
      <c r="CEB5" s="138"/>
      <c r="CEC5" s="138"/>
      <c r="CED5" s="138"/>
      <c r="CEE5" s="138"/>
      <c r="CEF5" s="138"/>
      <c r="CEG5" s="138"/>
      <c r="CEH5" s="138"/>
      <c r="CEI5" s="138"/>
      <c r="CEJ5" s="138"/>
      <c r="CEK5" s="138"/>
      <c r="CEL5" s="138"/>
      <c r="CEM5" s="138"/>
      <c r="CEN5" s="138"/>
      <c r="CEO5" s="138"/>
      <c r="CEP5" s="138"/>
      <c r="CEQ5" s="138"/>
      <c r="CER5" s="138"/>
      <c r="CES5" s="138"/>
      <c r="CET5" s="138"/>
      <c r="CEU5" s="138"/>
      <c r="CEV5" s="138"/>
      <c r="CEW5" s="138"/>
      <c r="CEX5" s="138"/>
      <c r="CEY5" s="138"/>
      <c r="CEZ5" s="138"/>
      <c r="CFA5" s="138"/>
      <c r="CFB5" s="138"/>
      <c r="CFC5" s="138"/>
      <c r="CFD5" s="138"/>
      <c r="CFE5" s="138"/>
      <c r="CFF5" s="138"/>
      <c r="CFG5" s="138"/>
      <c r="CFH5" s="138"/>
      <c r="CFI5" s="138"/>
      <c r="CFJ5" s="138"/>
      <c r="CFK5" s="138"/>
      <c r="CFL5" s="138"/>
      <c r="CFM5" s="138"/>
      <c r="CFN5" s="138"/>
      <c r="CFO5" s="138"/>
      <c r="CFP5" s="138"/>
      <c r="CFQ5" s="138"/>
      <c r="CFR5" s="138"/>
      <c r="CFS5" s="138"/>
      <c r="CFT5" s="138"/>
      <c r="CFU5" s="138"/>
      <c r="CFV5" s="138"/>
      <c r="CFW5" s="138"/>
      <c r="CFX5" s="138"/>
      <c r="CFY5" s="138"/>
      <c r="CFZ5" s="138"/>
      <c r="CGA5" s="138"/>
      <c r="CGB5" s="138"/>
      <c r="CGC5" s="138"/>
      <c r="CGD5" s="138"/>
      <c r="CGE5" s="138"/>
      <c r="CGF5" s="138"/>
      <c r="CGG5" s="138"/>
      <c r="CGH5" s="138"/>
      <c r="CGI5" s="138"/>
      <c r="CGJ5" s="138"/>
      <c r="CGK5" s="138"/>
      <c r="CGL5" s="138"/>
      <c r="CGM5" s="138"/>
      <c r="CGN5" s="138"/>
      <c r="CGO5" s="138"/>
      <c r="CGP5" s="138"/>
      <c r="CGQ5" s="138"/>
      <c r="CGR5" s="138"/>
      <c r="CGS5" s="138"/>
      <c r="CGT5" s="138"/>
      <c r="CGU5" s="138"/>
      <c r="CGV5" s="138"/>
      <c r="CGW5" s="138"/>
      <c r="CGX5" s="138"/>
      <c r="CGY5" s="138"/>
      <c r="CGZ5" s="138"/>
      <c r="CHA5" s="138"/>
      <c r="CHB5" s="138"/>
      <c r="CHC5" s="138"/>
      <c r="CHD5" s="138"/>
      <c r="CHE5" s="138"/>
      <c r="CHF5" s="138"/>
      <c r="CHG5" s="138"/>
      <c r="CHH5" s="138"/>
      <c r="CHI5" s="138"/>
      <c r="CHJ5" s="138"/>
      <c r="CHK5" s="138"/>
      <c r="CHL5" s="138"/>
      <c r="CHM5" s="138"/>
      <c r="CHN5" s="138"/>
      <c r="CHO5" s="138"/>
      <c r="CHP5" s="138"/>
      <c r="CHQ5" s="138"/>
      <c r="CHR5" s="138"/>
      <c r="CHS5" s="138"/>
      <c r="CHT5" s="138"/>
      <c r="CHU5" s="138"/>
      <c r="CHV5" s="138"/>
      <c r="CHW5" s="138"/>
      <c r="CHX5" s="138"/>
      <c r="CHY5" s="138"/>
      <c r="CHZ5" s="138"/>
      <c r="CIA5" s="138"/>
      <c r="CIB5" s="138"/>
      <c r="CIC5" s="138"/>
      <c r="CID5" s="138"/>
      <c r="CIE5" s="138"/>
      <c r="CIF5" s="138"/>
      <c r="CIG5" s="138"/>
      <c r="CIH5" s="138"/>
      <c r="CII5" s="138"/>
      <c r="CIJ5" s="138"/>
      <c r="CIK5" s="138"/>
      <c r="CIL5" s="138"/>
      <c r="CIM5" s="138"/>
      <c r="CIN5" s="138"/>
      <c r="CIO5" s="138"/>
      <c r="CIP5" s="138"/>
      <c r="CIQ5" s="138"/>
      <c r="CIR5" s="138"/>
      <c r="CIS5" s="138"/>
      <c r="CIT5" s="138"/>
      <c r="CIU5" s="138"/>
      <c r="CIV5" s="138"/>
      <c r="CIW5" s="138"/>
      <c r="CIX5" s="138"/>
      <c r="CIY5" s="138"/>
      <c r="CIZ5" s="138"/>
      <c r="CJA5" s="138"/>
      <c r="CJB5" s="138"/>
      <c r="CJC5" s="138"/>
      <c r="CJD5" s="138"/>
      <c r="CJE5" s="138"/>
      <c r="CJF5" s="138"/>
      <c r="CJG5" s="138"/>
      <c r="CJH5" s="138"/>
      <c r="CJI5" s="138"/>
      <c r="CJJ5" s="138"/>
      <c r="CJK5" s="138"/>
      <c r="CJL5" s="138"/>
      <c r="CJM5" s="138"/>
      <c r="CJN5" s="138"/>
      <c r="CJO5" s="138"/>
      <c r="CJP5" s="138"/>
      <c r="CJQ5" s="138"/>
      <c r="CJR5" s="138"/>
      <c r="CJS5" s="138"/>
      <c r="CJT5" s="138"/>
      <c r="CJU5" s="138"/>
      <c r="CJV5" s="138"/>
      <c r="CJW5" s="138"/>
      <c r="CJX5" s="138"/>
      <c r="CJY5" s="138"/>
      <c r="CJZ5" s="138"/>
      <c r="CKA5" s="138"/>
      <c r="CKB5" s="138"/>
      <c r="CKC5" s="138"/>
      <c r="CKD5" s="138"/>
      <c r="CKE5" s="138"/>
      <c r="CKF5" s="138"/>
      <c r="CKG5" s="138"/>
      <c r="CKH5" s="138"/>
      <c r="CKI5" s="138"/>
      <c r="CKJ5" s="138"/>
      <c r="CKK5" s="138"/>
      <c r="CKL5" s="138"/>
      <c r="CKM5" s="138"/>
      <c r="CKN5" s="138"/>
      <c r="CKO5" s="138"/>
      <c r="CKP5" s="138"/>
      <c r="CKQ5" s="138"/>
      <c r="CKR5" s="138"/>
      <c r="CKS5" s="138"/>
      <c r="CKT5" s="138"/>
      <c r="CKU5" s="138"/>
      <c r="CKV5" s="138"/>
      <c r="CKW5" s="138"/>
      <c r="CKX5" s="138"/>
      <c r="CKY5" s="138"/>
      <c r="CKZ5" s="138"/>
      <c r="CLA5" s="138"/>
      <c r="CLB5" s="138"/>
      <c r="CLC5" s="138"/>
      <c r="CLD5" s="138"/>
      <c r="CLE5" s="138"/>
      <c r="CLF5" s="138"/>
      <c r="CLG5" s="138"/>
      <c r="CLH5" s="138"/>
      <c r="CLI5" s="138"/>
      <c r="CLJ5" s="138"/>
      <c r="CLK5" s="138"/>
      <c r="CLL5" s="138"/>
      <c r="CLM5" s="138"/>
      <c r="CLN5" s="138"/>
      <c r="CLO5" s="138"/>
      <c r="CLP5" s="138"/>
      <c r="CLQ5" s="138"/>
      <c r="CLR5" s="138"/>
      <c r="CLS5" s="138"/>
      <c r="CLT5" s="138"/>
      <c r="CLU5" s="138"/>
      <c r="CLV5" s="138"/>
      <c r="CLW5" s="138"/>
      <c r="CLX5" s="138"/>
      <c r="CLY5" s="138"/>
      <c r="CLZ5" s="138"/>
      <c r="CMA5" s="138"/>
      <c r="CMB5" s="138"/>
      <c r="CMC5" s="138"/>
      <c r="CMD5" s="138"/>
      <c r="CME5" s="138"/>
      <c r="CMF5" s="138"/>
      <c r="CMG5" s="138"/>
      <c r="CMH5" s="138"/>
      <c r="CMI5" s="138"/>
      <c r="CMJ5" s="138"/>
      <c r="CMK5" s="138"/>
      <c r="CML5" s="138"/>
      <c r="CMM5" s="138"/>
      <c r="CMN5" s="138"/>
      <c r="CMO5" s="138"/>
      <c r="CMP5" s="138"/>
      <c r="CMQ5" s="138"/>
      <c r="CMR5" s="138"/>
      <c r="CMS5" s="138"/>
      <c r="CMT5" s="138"/>
      <c r="CMU5" s="138"/>
      <c r="CMV5" s="138"/>
      <c r="CMW5" s="138"/>
      <c r="CMX5" s="138"/>
      <c r="CMY5" s="138"/>
      <c r="CMZ5" s="138"/>
      <c r="CNA5" s="138"/>
      <c r="CNB5" s="138"/>
      <c r="CNC5" s="138"/>
      <c r="CND5" s="138"/>
      <c r="CNE5" s="138"/>
      <c r="CNF5" s="138"/>
      <c r="CNG5" s="138"/>
      <c r="CNH5" s="138"/>
      <c r="CNI5" s="138"/>
      <c r="CNJ5" s="138"/>
      <c r="CNK5" s="138"/>
      <c r="CNL5" s="138"/>
      <c r="CNM5" s="138"/>
      <c r="CNN5" s="138"/>
      <c r="CNO5" s="138"/>
      <c r="CNP5" s="138"/>
      <c r="CNQ5" s="138"/>
      <c r="CNR5" s="138"/>
      <c r="CNS5" s="138"/>
      <c r="CNT5" s="138"/>
      <c r="CNU5" s="138"/>
      <c r="CNV5" s="138"/>
      <c r="CNW5" s="138"/>
      <c r="CNX5" s="138"/>
      <c r="CNY5" s="138"/>
      <c r="CNZ5" s="138"/>
      <c r="COA5" s="138"/>
      <c r="COB5" s="138"/>
      <c r="COC5" s="138"/>
      <c r="COD5" s="138"/>
      <c r="COE5" s="138"/>
      <c r="COF5" s="138"/>
      <c r="COG5" s="138"/>
      <c r="COH5" s="138"/>
      <c r="COI5" s="138"/>
      <c r="COJ5" s="138"/>
      <c r="COK5" s="138"/>
      <c r="COL5" s="138"/>
      <c r="COM5" s="138"/>
      <c r="CON5" s="138"/>
      <c r="COO5" s="138"/>
      <c r="COP5" s="138"/>
      <c r="COQ5" s="138"/>
      <c r="COR5" s="138"/>
      <c r="COS5" s="138"/>
      <c r="COT5" s="138"/>
      <c r="COU5" s="138"/>
      <c r="COV5" s="138"/>
      <c r="COW5" s="138"/>
      <c r="COX5" s="138"/>
      <c r="COY5" s="138"/>
      <c r="COZ5" s="138"/>
      <c r="CPA5" s="138"/>
      <c r="CPB5" s="138"/>
      <c r="CPC5" s="138"/>
      <c r="CPD5" s="138"/>
      <c r="CPE5" s="138"/>
      <c r="CPF5" s="138"/>
      <c r="CPG5" s="138"/>
      <c r="CPH5" s="138"/>
      <c r="CPI5" s="138"/>
      <c r="CPJ5" s="138"/>
      <c r="CPK5" s="138"/>
      <c r="CPL5" s="138"/>
      <c r="CPM5" s="138"/>
      <c r="CPN5" s="138"/>
      <c r="CPO5" s="138"/>
      <c r="CPP5" s="138"/>
      <c r="CPQ5" s="138"/>
      <c r="CPR5" s="138"/>
      <c r="CPS5" s="138"/>
      <c r="CPT5" s="138"/>
      <c r="CPU5" s="138"/>
      <c r="CPV5" s="138"/>
      <c r="CPW5" s="138"/>
      <c r="CPX5" s="138"/>
      <c r="CPY5" s="138"/>
      <c r="CPZ5" s="138"/>
      <c r="CQA5" s="138"/>
      <c r="CQB5" s="138"/>
      <c r="CQC5" s="138"/>
      <c r="CQD5" s="138"/>
      <c r="CQE5" s="138"/>
      <c r="CQF5" s="138"/>
      <c r="CQG5" s="138"/>
      <c r="CQH5" s="138"/>
      <c r="CQI5" s="138"/>
      <c r="CQJ5" s="138"/>
      <c r="CQK5" s="138"/>
      <c r="CQL5" s="138"/>
      <c r="CQM5" s="138"/>
      <c r="CQN5" s="138"/>
      <c r="CQO5" s="138"/>
      <c r="CQP5" s="138"/>
      <c r="CQQ5" s="138"/>
      <c r="CQR5" s="138"/>
      <c r="CQS5" s="138"/>
      <c r="CQT5" s="138"/>
      <c r="CQU5" s="138"/>
      <c r="CQV5" s="138"/>
      <c r="CQW5" s="138"/>
      <c r="CQX5" s="138"/>
      <c r="CQY5" s="138"/>
      <c r="CQZ5" s="138"/>
      <c r="CRA5" s="138"/>
      <c r="CRB5" s="138"/>
      <c r="CRC5" s="138"/>
      <c r="CRD5" s="138"/>
      <c r="CRE5" s="138"/>
      <c r="CRF5" s="138"/>
      <c r="CRG5" s="138"/>
      <c r="CRH5" s="138"/>
      <c r="CRI5" s="138"/>
      <c r="CRJ5" s="138"/>
      <c r="CRK5" s="138"/>
      <c r="CRL5" s="138"/>
      <c r="CRM5" s="138"/>
      <c r="CRN5" s="138"/>
      <c r="CRO5" s="138"/>
      <c r="CRP5" s="138"/>
      <c r="CRQ5" s="138"/>
      <c r="CRR5" s="138"/>
      <c r="CRS5" s="138"/>
      <c r="CRT5" s="138"/>
      <c r="CRU5" s="138"/>
      <c r="CRV5" s="138"/>
      <c r="CRW5" s="138"/>
      <c r="CRX5" s="138"/>
      <c r="CRY5" s="138"/>
      <c r="CRZ5" s="138"/>
      <c r="CSA5" s="138"/>
      <c r="CSB5" s="138"/>
      <c r="CSC5" s="138"/>
      <c r="CSD5" s="138"/>
      <c r="CSE5" s="138"/>
      <c r="CSF5" s="138"/>
      <c r="CSG5" s="138"/>
      <c r="CSH5" s="138"/>
      <c r="CSI5" s="138"/>
      <c r="CSJ5" s="138"/>
      <c r="CSK5" s="138"/>
      <c r="CSL5" s="138"/>
      <c r="CSM5" s="138"/>
      <c r="CSN5" s="138"/>
      <c r="CSO5" s="138"/>
      <c r="CSP5" s="138"/>
      <c r="CSQ5" s="138"/>
      <c r="CSR5" s="138"/>
      <c r="CSS5" s="138"/>
      <c r="CST5" s="138"/>
      <c r="CSU5" s="138"/>
      <c r="CSV5" s="138"/>
      <c r="CSW5" s="138"/>
      <c r="CSX5" s="138"/>
      <c r="CSY5" s="138"/>
      <c r="CSZ5" s="138"/>
      <c r="CTA5" s="138"/>
      <c r="CTB5" s="138"/>
      <c r="CTC5" s="138"/>
      <c r="CTD5" s="138"/>
      <c r="CTE5" s="138"/>
      <c r="CTF5" s="138"/>
      <c r="CTG5" s="138"/>
      <c r="CTH5" s="138"/>
      <c r="CTI5" s="138"/>
      <c r="CTJ5" s="138"/>
      <c r="CTK5" s="138"/>
      <c r="CTL5" s="138"/>
      <c r="CTM5" s="138"/>
      <c r="CTN5" s="138"/>
      <c r="CTO5" s="138"/>
      <c r="CTP5" s="138"/>
      <c r="CTQ5" s="138"/>
      <c r="CTR5" s="138"/>
      <c r="CTS5" s="138"/>
      <c r="CTT5" s="138"/>
      <c r="CTU5" s="138"/>
      <c r="CTV5" s="138"/>
      <c r="CTW5" s="138"/>
      <c r="CTX5" s="138"/>
      <c r="CTY5" s="138"/>
      <c r="CTZ5" s="138"/>
      <c r="CUA5" s="138"/>
      <c r="CUB5" s="138"/>
      <c r="CUC5" s="138"/>
      <c r="CUD5" s="138"/>
      <c r="CUE5" s="138"/>
      <c r="CUF5" s="138"/>
      <c r="CUG5" s="138"/>
      <c r="CUH5" s="138"/>
      <c r="CUI5" s="138"/>
      <c r="CUJ5" s="138"/>
      <c r="CUK5" s="138"/>
      <c r="CUL5" s="138"/>
      <c r="CUM5" s="138"/>
      <c r="CUN5" s="138"/>
      <c r="CUO5" s="138"/>
      <c r="CUP5" s="138"/>
      <c r="CUQ5" s="138"/>
      <c r="CUR5" s="138"/>
      <c r="CUS5" s="138"/>
      <c r="CUT5" s="138"/>
      <c r="CUU5" s="138"/>
      <c r="CUV5" s="138"/>
      <c r="CUW5" s="138"/>
      <c r="CUX5" s="138"/>
      <c r="CUY5" s="138"/>
      <c r="CUZ5" s="138"/>
      <c r="CVA5" s="138"/>
      <c r="CVB5" s="138"/>
      <c r="CVC5" s="138"/>
      <c r="CVD5" s="138"/>
      <c r="CVE5" s="138"/>
      <c r="CVF5" s="138"/>
      <c r="CVG5" s="138"/>
      <c r="CVH5" s="138"/>
      <c r="CVI5" s="138"/>
      <c r="CVJ5" s="138"/>
      <c r="CVK5" s="138"/>
      <c r="CVL5" s="138"/>
      <c r="CVM5" s="138"/>
      <c r="CVN5" s="138"/>
      <c r="CVO5" s="138"/>
      <c r="CVP5" s="138"/>
      <c r="CVQ5" s="138"/>
      <c r="CVR5" s="138"/>
      <c r="CVS5" s="138"/>
      <c r="CVT5" s="138"/>
      <c r="CVU5" s="138"/>
      <c r="CVV5" s="138"/>
      <c r="CVW5" s="138"/>
      <c r="CVX5" s="138"/>
      <c r="CVY5" s="138"/>
      <c r="CVZ5" s="138"/>
      <c r="CWA5" s="138"/>
      <c r="CWB5" s="138"/>
      <c r="CWC5" s="138"/>
      <c r="CWD5" s="138"/>
      <c r="CWE5" s="138"/>
      <c r="CWF5" s="138"/>
      <c r="CWG5" s="138"/>
      <c r="CWH5" s="138"/>
      <c r="CWI5" s="138"/>
      <c r="CWJ5" s="138"/>
      <c r="CWK5" s="138"/>
      <c r="CWL5" s="138"/>
      <c r="CWM5" s="138"/>
      <c r="CWN5" s="138"/>
      <c r="CWO5" s="138"/>
      <c r="CWP5" s="138"/>
      <c r="CWQ5" s="138"/>
      <c r="CWR5" s="138"/>
      <c r="CWS5" s="138"/>
      <c r="CWT5" s="138"/>
      <c r="CWU5" s="138"/>
      <c r="CWV5" s="138"/>
      <c r="CWW5" s="138"/>
      <c r="CWX5" s="138"/>
      <c r="CWY5" s="138"/>
      <c r="CWZ5" s="138"/>
      <c r="CXA5" s="138"/>
      <c r="CXB5" s="138"/>
      <c r="CXC5" s="138"/>
      <c r="CXD5" s="138"/>
      <c r="CXE5" s="138"/>
      <c r="CXF5" s="138"/>
      <c r="CXG5" s="138"/>
      <c r="CXH5" s="138"/>
      <c r="CXI5" s="138"/>
      <c r="CXJ5" s="138"/>
      <c r="CXK5" s="138"/>
      <c r="CXL5" s="138"/>
      <c r="CXM5" s="138"/>
      <c r="CXN5" s="138"/>
      <c r="CXO5" s="138"/>
      <c r="CXP5" s="138"/>
      <c r="CXQ5" s="138"/>
      <c r="CXR5" s="138"/>
      <c r="CXS5" s="138"/>
      <c r="CXT5" s="138"/>
      <c r="CXU5" s="138"/>
      <c r="CXV5" s="138"/>
      <c r="CXW5" s="138"/>
      <c r="CXX5" s="138"/>
      <c r="CXY5" s="138"/>
      <c r="CXZ5" s="138"/>
      <c r="CYA5" s="138"/>
      <c r="CYB5" s="138"/>
      <c r="CYC5" s="138"/>
      <c r="CYD5" s="138"/>
      <c r="CYE5" s="138"/>
      <c r="CYF5" s="138"/>
      <c r="CYG5" s="138"/>
      <c r="CYH5" s="138"/>
      <c r="CYI5" s="138"/>
      <c r="CYJ5" s="138"/>
      <c r="CYK5" s="138"/>
      <c r="CYL5" s="138"/>
      <c r="CYM5" s="138"/>
      <c r="CYN5" s="138"/>
      <c r="CYO5" s="138"/>
      <c r="CYP5" s="138"/>
      <c r="CYQ5" s="138"/>
      <c r="CYR5" s="138"/>
      <c r="CYS5" s="138"/>
      <c r="CYT5" s="138"/>
      <c r="CYU5" s="138"/>
      <c r="CYV5" s="138"/>
      <c r="CYW5" s="138"/>
      <c r="CYX5" s="138"/>
      <c r="CYY5" s="138"/>
      <c r="CYZ5" s="138"/>
      <c r="CZA5" s="138"/>
      <c r="CZB5" s="138"/>
      <c r="CZC5" s="138"/>
      <c r="CZD5" s="138"/>
      <c r="CZE5" s="138"/>
      <c r="CZF5" s="138"/>
      <c r="CZG5" s="138"/>
      <c r="CZH5" s="138"/>
      <c r="CZI5" s="138"/>
      <c r="CZJ5" s="138"/>
      <c r="CZK5" s="138"/>
      <c r="CZL5" s="138"/>
      <c r="CZM5" s="138"/>
      <c r="CZN5" s="138"/>
      <c r="CZO5" s="138"/>
      <c r="CZP5" s="138"/>
      <c r="CZQ5" s="138"/>
      <c r="CZR5" s="138"/>
      <c r="CZS5" s="138"/>
      <c r="CZT5" s="138"/>
      <c r="CZU5" s="138"/>
      <c r="CZV5" s="138"/>
      <c r="CZW5" s="138"/>
      <c r="CZX5" s="138"/>
      <c r="CZY5" s="138"/>
      <c r="CZZ5" s="138"/>
      <c r="DAA5" s="138"/>
      <c r="DAB5" s="138"/>
      <c r="DAC5" s="138"/>
      <c r="DAD5" s="138"/>
      <c r="DAE5" s="138"/>
      <c r="DAF5" s="138"/>
      <c r="DAG5" s="138"/>
      <c r="DAH5" s="138"/>
      <c r="DAI5" s="138"/>
      <c r="DAJ5" s="138"/>
      <c r="DAK5" s="138"/>
      <c r="DAL5" s="138"/>
      <c r="DAM5" s="138"/>
      <c r="DAN5" s="138"/>
      <c r="DAO5" s="138"/>
      <c r="DAP5" s="138"/>
      <c r="DAQ5" s="138"/>
      <c r="DAR5" s="138"/>
      <c r="DAS5" s="138"/>
      <c r="DAT5" s="138"/>
      <c r="DAU5" s="138"/>
      <c r="DAV5" s="138"/>
      <c r="DAW5" s="138"/>
      <c r="DAX5" s="138"/>
      <c r="DAY5" s="138"/>
      <c r="DAZ5" s="138"/>
      <c r="DBA5" s="138"/>
      <c r="DBB5" s="138"/>
      <c r="DBC5" s="138"/>
      <c r="DBD5" s="138"/>
      <c r="DBE5" s="138"/>
      <c r="DBF5" s="138"/>
      <c r="DBG5" s="138"/>
      <c r="DBH5" s="138"/>
      <c r="DBI5" s="138"/>
      <c r="DBJ5" s="138"/>
      <c r="DBK5" s="138"/>
      <c r="DBL5" s="138"/>
      <c r="DBM5" s="138"/>
      <c r="DBN5" s="138"/>
      <c r="DBO5" s="138"/>
      <c r="DBP5" s="138"/>
      <c r="DBQ5" s="138"/>
      <c r="DBR5" s="138"/>
      <c r="DBS5" s="138"/>
      <c r="DBT5" s="138"/>
      <c r="DBU5" s="138"/>
      <c r="DBV5" s="138"/>
      <c r="DBW5" s="138"/>
      <c r="DBX5" s="138"/>
      <c r="DBY5" s="138"/>
      <c r="DBZ5" s="138"/>
      <c r="DCA5" s="138"/>
      <c r="DCB5" s="138"/>
      <c r="DCC5" s="138"/>
      <c r="DCD5" s="138"/>
      <c r="DCE5" s="138"/>
      <c r="DCF5" s="138"/>
      <c r="DCG5" s="138"/>
      <c r="DCH5" s="138"/>
      <c r="DCI5" s="138"/>
      <c r="DCJ5" s="138"/>
      <c r="DCK5" s="138"/>
      <c r="DCL5" s="138"/>
      <c r="DCM5" s="138"/>
      <c r="DCN5" s="138"/>
      <c r="DCO5" s="138"/>
      <c r="DCP5" s="138"/>
      <c r="DCQ5" s="138"/>
      <c r="DCR5" s="138"/>
      <c r="DCS5" s="138"/>
      <c r="DCT5" s="138"/>
      <c r="DCU5" s="138"/>
      <c r="DCV5" s="138"/>
      <c r="DCW5" s="138"/>
      <c r="DCX5" s="138"/>
      <c r="DCY5" s="138"/>
      <c r="DCZ5" s="138"/>
      <c r="DDA5" s="138"/>
      <c r="DDB5" s="138"/>
      <c r="DDC5" s="138"/>
      <c r="DDD5" s="138"/>
      <c r="DDE5" s="138"/>
      <c r="DDF5" s="138"/>
      <c r="DDG5" s="138"/>
      <c r="DDH5" s="138"/>
      <c r="DDI5" s="138"/>
      <c r="DDJ5" s="138"/>
      <c r="DDK5" s="138"/>
      <c r="DDL5" s="138"/>
      <c r="DDM5" s="138"/>
      <c r="DDN5" s="138"/>
      <c r="DDO5" s="138"/>
      <c r="DDP5" s="138"/>
      <c r="DDQ5" s="138"/>
      <c r="DDR5" s="138"/>
      <c r="DDS5" s="138"/>
      <c r="DDT5" s="138"/>
      <c r="DDU5" s="138"/>
      <c r="DDV5" s="138"/>
      <c r="DDW5" s="138"/>
      <c r="DDX5" s="138"/>
      <c r="DDY5" s="138"/>
      <c r="DDZ5" s="138"/>
      <c r="DEA5" s="138"/>
      <c r="DEB5" s="138"/>
      <c r="DEC5" s="138"/>
      <c r="DED5" s="138"/>
      <c r="DEE5" s="138"/>
      <c r="DEF5" s="138"/>
      <c r="DEG5" s="138"/>
      <c r="DEH5" s="138"/>
      <c r="DEI5" s="138"/>
      <c r="DEJ5" s="138"/>
      <c r="DEK5" s="138"/>
      <c r="DEL5" s="138"/>
      <c r="DEM5" s="138"/>
      <c r="DEN5" s="138"/>
      <c r="DEO5" s="138"/>
      <c r="DEP5" s="138"/>
      <c r="DEQ5" s="138"/>
      <c r="DER5" s="138"/>
      <c r="DES5" s="138"/>
      <c r="DET5" s="138"/>
      <c r="DEU5" s="138"/>
      <c r="DEV5" s="138"/>
      <c r="DEW5" s="138"/>
      <c r="DEX5" s="138"/>
      <c r="DEY5" s="138"/>
      <c r="DEZ5" s="138"/>
      <c r="DFA5" s="138"/>
      <c r="DFB5" s="138"/>
      <c r="DFC5" s="138"/>
      <c r="DFD5" s="138"/>
      <c r="DFE5" s="138"/>
      <c r="DFF5" s="138"/>
      <c r="DFG5" s="138"/>
      <c r="DFH5" s="138"/>
      <c r="DFI5" s="138"/>
      <c r="DFJ5" s="138"/>
      <c r="DFK5" s="138"/>
      <c r="DFL5" s="138"/>
      <c r="DFM5" s="138"/>
      <c r="DFN5" s="138"/>
      <c r="DFO5" s="138"/>
      <c r="DFP5" s="138"/>
      <c r="DFQ5" s="138"/>
      <c r="DFR5" s="138"/>
      <c r="DFS5" s="138"/>
      <c r="DFT5" s="138"/>
      <c r="DFU5" s="138"/>
      <c r="DFV5" s="138"/>
      <c r="DFW5" s="138"/>
      <c r="DFX5" s="138"/>
      <c r="DFY5" s="138"/>
      <c r="DFZ5" s="138"/>
      <c r="DGA5" s="138"/>
      <c r="DGB5" s="138"/>
      <c r="DGC5" s="138"/>
      <c r="DGD5" s="138"/>
      <c r="DGE5" s="138"/>
      <c r="DGF5" s="138"/>
      <c r="DGG5" s="138"/>
      <c r="DGH5" s="138"/>
      <c r="DGI5" s="138"/>
      <c r="DGJ5" s="138"/>
      <c r="DGK5" s="138"/>
      <c r="DGL5" s="138"/>
      <c r="DGM5" s="138"/>
      <c r="DGN5" s="138"/>
      <c r="DGO5" s="138"/>
      <c r="DGP5" s="138"/>
      <c r="DGQ5" s="138"/>
      <c r="DGR5" s="138"/>
      <c r="DGS5" s="138"/>
      <c r="DGT5" s="138"/>
      <c r="DGU5" s="138"/>
      <c r="DGV5" s="138"/>
      <c r="DGW5" s="138"/>
      <c r="DGX5" s="138"/>
      <c r="DGY5" s="138"/>
      <c r="DGZ5" s="138"/>
      <c r="DHA5" s="138"/>
      <c r="DHB5" s="138"/>
      <c r="DHC5" s="138"/>
      <c r="DHD5" s="138"/>
      <c r="DHE5" s="138"/>
      <c r="DHF5" s="138"/>
      <c r="DHG5" s="138"/>
      <c r="DHH5" s="138"/>
      <c r="DHI5" s="138"/>
      <c r="DHJ5" s="138"/>
      <c r="DHK5" s="138"/>
      <c r="DHL5" s="138"/>
      <c r="DHM5" s="138"/>
      <c r="DHN5" s="138"/>
      <c r="DHO5" s="138"/>
      <c r="DHP5" s="138"/>
      <c r="DHQ5" s="138"/>
      <c r="DHR5" s="138"/>
      <c r="DHS5" s="138"/>
      <c r="DHT5" s="138"/>
      <c r="DHU5" s="138"/>
      <c r="DHV5" s="138"/>
      <c r="DHW5" s="138"/>
      <c r="DHX5" s="138"/>
      <c r="DHY5" s="138"/>
      <c r="DHZ5" s="138"/>
      <c r="DIA5" s="138"/>
      <c r="DIB5" s="138"/>
      <c r="DIC5" s="138"/>
      <c r="DID5" s="138"/>
      <c r="DIE5" s="138"/>
      <c r="DIF5" s="138"/>
      <c r="DIG5" s="138"/>
      <c r="DIH5" s="138"/>
      <c r="DII5" s="138"/>
      <c r="DIJ5" s="138"/>
      <c r="DIK5" s="138"/>
      <c r="DIL5" s="138"/>
      <c r="DIM5" s="138"/>
      <c r="DIN5" s="138"/>
      <c r="DIO5" s="138"/>
      <c r="DIP5" s="138"/>
      <c r="DIQ5" s="138"/>
      <c r="DIR5" s="138"/>
      <c r="DIS5" s="138"/>
      <c r="DIT5" s="138"/>
      <c r="DIU5" s="138"/>
      <c r="DIV5" s="138"/>
      <c r="DIW5" s="138"/>
      <c r="DIX5" s="138"/>
      <c r="DIY5" s="138"/>
      <c r="DIZ5" s="138"/>
      <c r="DJA5" s="138"/>
      <c r="DJB5" s="138"/>
      <c r="DJC5" s="138"/>
      <c r="DJD5" s="138"/>
      <c r="DJE5" s="138"/>
      <c r="DJF5" s="138"/>
      <c r="DJG5" s="138"/>
      <c r="DJH5" s="138"/>
      <c r="DJI5" s="138"/>
      <c r="DJJ5" s="138"/>
      <c r="DJK5" s="138"/>
      <c r="DJL5" s="138"/>
      <c r="DJM5" s="138"/>
      <c r="DJN5" s="138"/>
      <c r="DJO5" s="138"/>
      <c r="DJP5" s="138"/>
      <c r="DJQ5" s="138"/>
      <c r="DJR5" s="138"/>
      <c r="DJS5" s="138"/>
      <c r="DJT5" s="138"/>
      <c r="DJU5" s="138"/>
      <c r="DJV5" s="138"/>
      <c r="DJW5" s="138"/>
      <c r="DJX5" s="138"/>
      <c r="DJY5" s="138"/>
      <c r="DJZ5" s="138"/>
      <c r="DKA5" s="138"/>
      <c r="DKB5" s="138"/>
      <c r="DKC5" s="138"/>
      <c r="DKD5" s="138"/>
      <c r="DKE5" s="138"/>
      <c r="DKF5" s="138"/>
      <c r="DKG5" s="138"/>
      <c r="DKH5" s="138"/>
      <c r="DKI5" s="138"/>
      <c r="DKJ5" s="138"/>
      <c r="DKK5" s="138"/>
      <c r="DKL5" s="138"/>
      <c r="DKM5" s="138"/>
      <c r="DKN5" s="138"/>
      <c r="DKO5" s="138"/>
      <c r="DKP5" s="138"/>
      <c r="DKQ5" s="138"/>
      <c r="DKR5" s="138"/>
      <c r="DKS5" s="138"/>
      <c r="DKT5" s="138"/>
      <c r="DKU5" s="138"/>
      <c r="DKV5" s="138"/>
      <c r="DKW5" s="138"/>
      <c r="DKX5" s="138"/>
      <c r="DKY5" s="138"/>
      <c r="DKZ5" s="138"/>
      <c r="DLA5" s="138"/>
      <c r="DLB5" s="138"/>
      <c r="DLC5" s="138"/>
      <c r="DLD5" s="138"/>
      <c r="DLE5" s="138"/>
      <c r="DLF5" s="138"/>
      <c r="DLG5" s="138"/>
      <c r="DLH5" s="138"/>
      <c r="DLI5" s="138"/>
      <c r="DLJ5" s="138"/>
      <c r="DLK5" s="138"/>
      <c r="DLL5" s="138"/>
      <c r="DLM5" s="138"/>
      <c r="DLN5" s="138"/>
      <c r="DLO5" s="138"/>
      <c r="DLP5" s="138"/>
      <c r="DLQ5" s="138"/>
      <c r="DLR5" s="138"/>
      <c r="DLS5" s="138"/>
      <c r="DLT5" s="138"/>
      <c r="DLU5" s="138"/>
      <c r="DLV5" s="138"/>
      <c r="DLW5" s="138"/>
      <c r="DLX5" s="138"/>
      <c r="DLY5" s="138"/>
      <c r="DLZ5" s="138"/>
      <c r="DMA5" s="138"/>
      <c r="DMB5" s="138"/>
      <c r="DMC5" s="138"/>
      <c r="DMD5" s="138"/>
      <c r="DME5" s="138"/>
      <c r="DMF5" s="138"/>
      <c r="DMG5" s="138"/>
      <c r="DMH5" s="138"/>
      <c r="DMI5" s="138"/>
      <c r="DMJ5" s="138"/>
      <c r="DMK5" s="138"/>
      <c r="DML5" s="138"/>
      <c r="DMM5" s="138"/>
      <c r="DMN5" s="138"/>
      <c r="DMO5" s="138"/>
      <c r="DMP5" s="138"/>
      <c r="DMQ5" s="138"/>
      <c r="DMR5" s="138"/>
      <c r="DMS5" s="138"/>
      <c r="DMT5" s="138"/>
      <c r="DMU5" s="138"/>
      <c r="DMV5" s="138"/>
      <c r="DMW5" s="138"/>
      <c r="DMX5" s="138"/>
      <c r="DMY5" s="138"/>
      <c r="DMZ5" s="138"/>
      <c r="DNA5" s="138"/>
      <c r="DNB5" s="138"/>
      <c r="DNC5" s="138"/>
      <c r="DND5" s="138"/>
      <c r="DNE5" s="138"/>
      <c r="DNF5" s="138"/>
      <c r="DNG5" s="138"/>
      <c r="DNH5" s="138"/>
      <c r="DNI5" s="138"/>
      <c r="DNJ5" s="138"/>
      <c r="DNK5" s="138"/>
      <c r="DNL5" s="138"/>
      <c r="DNM5" s="138"/>
      <c r="DNN5" s="138"/>
      <c r="DNO5" s="138"/>
      <c r="DNP5" s="138"/>
      <c r="DNQ5" s="138"/>
      <c r="DNR5" s="138"/>
      <c r="DNS5" s="138"/>
      <c r="DNT5" s="138"/>
      <c r="DNU5" s="138"/>
      <c r="DNV5" s="138"/>
      <c r="DNW5" s="138"/>
      <c r="DNX5" s="138"/>
      <c r="DNY5" s="138"/>
      <c r="DNZ5" s="138"/>
      <c r="DOA5" s="138"/>
      <c r="DOB5" s="138"/>
      <c r="DOC5" s="138"/>
      <c r="DOD5" s="138"/>
      <c r="DOE5" s="138"/>
      <c r="DOF5" s="138"/>
      <c r="DOG5" s="138"/>
      <c r="DOH5" s="138"/>
      <c r="DOI5" s="138"/>
      <c r="DOJ5" s="138"/>
      <c r="DOK5" s="138"/>
      <c r="DOL5" s="138"/>
      <c r="DOM5" s="138"/>
      <c r="DON5" s="138"/>
      <c r="DOO5" s="138"/>
      <c r="DOP5" s="138"/>
      <c r="DOQ5" s="138"/>
      <c r="DOR5" s="138"/>
      <c r="DOS5" s="138"/>
      <c r="DOT5" s="138"/>
      <c r="DOU5" s="138"/>
      <c r="DOV5" s="138"/>
      <c r="DOW5" s="138"/>
      <c r="DOX5" s="138"/>
      <c r="DOY5" s="138"/>
      <c r="DOZ5" s="138"/>
      <c r="DPA5" s="138"/>
      <c r="DPB5" s="138"/>
      <c r="DPC5" s="138"/>
      <c r="DPD5" s="138"/>
      <c r="DPE5" s="138"/>
      <c r="DPF5" s="138"/>
      <c r="DPG5" s="138"/>
      <c r="DPH5" s="138"/>
      <c r="DPI5" s="138"/>
      <c r="DPJ5" s="138"/>
      <c r="DPK5" s="138"/>
      <c r="DPL5" s="138"/>
      <c r="DPM5" s="138"/>
      <c r="DPN5" s="138"/>
      <c r="DPO5" s="138"/>
      <c r="DPP5" s="138"/>
      <c r="DPQ5" s="138"/>
      <c r="DPR5" s="138"/>
      <c r="DPS5" s="138"/>
      <c r="DPT5" s="138"/>
      <c r="DPU5" s="138"/>
      <c r="DPV5" s="138"/>
      <c r="DPW5" s="138"/>
      <c r="DPX5" s="138"/>
      <c r="DPY5" s="138"/>
      <c r="DPZ5" s="138"/>
      <c r="DQA5" s="138"/>
      <c r="DQB5" s="138"/>
      <c r="DQC5" s="138"/>
      <c r="DQD5" s="138"/>
      <c r="DQE5" s="138"/>
      <c r="DQF5" s="138"/>
      <c r="DQG5" s="138"/>
      <c r="DQH5" s="138"/>
      <c r="DQI5" s="138"/>
      <c r="DQJ5" s="138"/>
      <c r="DQK5" s="138"/>
      <c r="DQL5" s="138"/>
      <c r="DQM5" s="138"/>
      <c r="DQN5" s="138"/>
      <c r="DQO5" s="138"/>
      <c r="DQP5" s="138"/>
      <c r="DQQ5" s="138"/>
      <c r="DQR5" s="138"/>
      <c r="DQS5" s="138"/>
      <c r="DQT5" s="138"/>
      <c r="DQU5" s="138"/>
      <c r="DQV5" s="138"/>
      <c r="DQW5" s="138"/>
      <c r="DQX5" s="138"/>
      <c r="DQY5" s="138"/>
      <c r="DQZ5" s="138"/>
      <c r="DRA5" s="138"/>
      <c r="DRB5" s="138"/>
      <c r="DRC5" s="138"/>
      <c r="DRD5" s="138"/>
      <c r="DRE5" s="138"/>
      <c r="DRF5" s="138"/>
      <c r="DRG5" s="138"/>
      <c r="DRH5" s="138"/>
      <c r="DRI5" s="138"/>
      <c r="DRJ5" s="138"/>
      <c r="DRK5" s="138"/>
      <c r="DRL5" s="138"/>
      <c r="DRM5" s="138"/>
      <c r="DRN5" s="138"/>
      <c r="DRO5" s="138"/>
      <c r="DRP5" s="138"/>
      <c r="DRQ5" s="138"/>
      <c r="DRR5" s="138"/>
      <c r="DRS5" s="138"/>
      <c r="DRT5" s="138"/>
      <c r="DRU5" s="138"/>
      <c r="DRV5" s="138"/>
      <c r="DRW5" s="138"/>
      <c r="DRX5" s="138"/>
      <c r="DRY5" s="138"/>
      <c r="DRZ5" s="138"/>
      <c r="DSA5" s="138"/>
      <c r="DSB5" s="138"/>
      <c r="DSC5" s="138"/>
      <c r="DSD5" s="138"/>
      <c r="DSE5" s="138"/>
      <c r="DSF5" s="138"/>
      <c r="DSG5" s="138"/>
      <c r="DSH5" s="138"/>
      <c r="DSI5" s="138"/>
      <c r="DSJ5" s="138"/>
      <c r="DSK5" s="138"/>
      <c r="DSL5" s="138"/>
      <c r="DSM5" s="138"/>
      <c r="DSN5" s="138"/>
      <c r="DSO5" s="138"/>
      <c r="DSP5" s="138"/>
      <c r="DSQ5" s="138"/>
      <c r="DSR5" s="138"/>
      <c r="DSS5" s="138"/>
      <c r="DST5" s="138"/>
      <c r="DSU5" s="138"/>
      <c r="DSV5" s="138"/>
      <c r="DSW5" s="138"/>
      <c r="DSX5" s="138"/>
      <c r="DSY5" s="138"/>
      <c r="DSZ5" s="138"/>
      <c r="DTA5" s="138"/>
      <c r="DTB5" s="138"/>
      <c r="DTC5" s="138"/>
      <c r="DTD5" s="138"/>
      <c r="DTE5" s="138"/>
      <c r="DTF5" s="138"/>
      <c r="DTG5" s="138"/>
      <c r="DTH5" s="138"/>
      <c r="DTI5" s="138"/>
      <c r="DTJ5" s="138"/>
      <c r="DTK5" s="138"/>
      <c r="DTL5" s="138"/>
      <c r="DTM5" s="138"/>
      <c r="DTN5" s="138"/>
      <c r="DTO5" s="138"/>
      <c r="DTP5" s="138"/>
      <c r="DTQ5" s="138"/>
      <c r="DTR5" s="138"/>
      <c r="DTS5" s="138"/>
      <c r="DTT5" s="138"/>
      <c r="DTU5" s="138"/>
      <c r="DTV5" s="138"/>
      <c r="DTW5" s="138"/>
      <c r="DTX5" s="138"/>
      <c r="DTY5" s="138"/>
      <c r="DTZ5" s="138"/>
      <c r="DUA5" s="138"/>
      <c r="DUB5" s="138"/>
      <c r="DUC5" s="138"/>
      <c r="DUD5" s="138"/>
      <c r="DUE5" s="138"/>
      <c r="DUF5" s="138"/>
      <c r="DUG5" s="138"/>
      <c r="DUH5" s="138"/>
      <c r="DUI5" s="138"/>
      <c r="DUJ5" s="138"/>
      <c r="DUK5" s="138"/>
      <c r="DUL5" s="138"/>
      <c r="DUM5" s="138"/>
      <c r="DUN5" s="138"/>
      <c r="DUO5" s="138"/>
      <c r="DUP5" s="138"/>
      <c r="DUQ5" s="138"/>
      <c r="DUR5" s="138"/>
      <c r="DUS5" s="138"/>
      <c r="DUT5" s="138"/>
      <c r="DUU5" s="138"/>
      <c r="DUV5" s="138"/>
      <c r="DUW5" s="138"/>
      <c r="DUX5" s="138"/>
      <c r="DUY5" s="138"/>
      <c r="DUZ5" s="138"/>
      <c r="DVA5" s="138"/>
      <c r="DVB5" s="138"/>
      <c r="DVC5" s="138"/>
      <c r="DVD5" s="138"/>
      <c r="DVE5" s="138"/>
      <c r="DVF5" s="138"/>
      <c r="DVG5" s="138"/>
      <c r="DVH5" s="138"/>
      <c r="DVI5" s="138"/>
      <c r="DVJ5" s="138"/>
      <c r="DVK5" s="138"/>
      <c r="DVL5" s="138"/>
      <c r="DVM5" s="138"/>
      <c r="DVN5" s="138"/>
      <c r="DVO5" s="138"/>
      <c r="DVP5" s="138"/>
      <c r="DVQ5" s="138"/>
      <c r="DVR5" s="138"/>
      <c r="DVS5" s="138"/>
      <c r="DVT5" s="138"/>
      <c r="DVU5" s="138"/>
      <c r="DVV5" s="138"/>
      <c r="DVW5" s="138"/>
      <c r="DVX5" s="138"/>
      <c r="DVY5" s="138"/>
      <c r="DVZ5" s="138"/>
      <c r="DWA5" s="138"/>
      <c r="DWB5" s="138"/>
      <c r="DWC5" s="138"/>
      <c r="DWD5" s="138"/>
      <c r="DWE5" s="138"/>
      <c r="DWF5" s="138"/>
      <c r="DWG5" s="138"/>
      <c r="DWH5" s="138"/>
      <c r="DWI5" s="138"/>
      <c r="DWJ5" s="138"/>
      <c r="DWK5" s="138"/>
      <c r="DWL5" s="138"/>
      <c r="DWM5" s="138"/>
      <c r="DWN5" s="138"/>
      <c r="DWO5" s="138"/>
      <c r="DWP5" s="138"/>
      <c r="DWQ5" s="138"/>
      <c r="DWR5" s="138"/>
      <c r="DWS5" s="138"/>
      <c r="DWT5" s="138"/>
      <c r="DWU5" s="138"/>
      <c r="DWV5" s="138"/>
      <c r="DWW5" s="138"/>
      <c r="DWX5" s="138"/>
      <c r="DWY5" s="138"/>
      <c r="DWZ5" s="138"/>
      <c r="DXA5" s="138"/>
      <c r="DXB5" s="138"/>
      <c r="DXC5" s="138"/>
      <c r="DXD5" s="138"/>
      <c r="DXE5" s="138"/>
      <c r="DXF5" s="138"/>
      <c r="DXG5" s="138"/>
      <c r="DXH5" s="138"/>
      <c r="DXI5" s="138"/>
      <c r="DXJ5" s="138"/>
      <c r="DXK5" s="138"/>
      <c r="DXL5" s="138"/>
      <c r="DXM5" s="138"/>
      <c r="DXN5" s="138"/>
      <c r="DXO5" s="138"/>
      <c r="DXP5" s="138"/>
      <c r="DXQ5" s="138"/>
      <c r="DXR5" s="138"/>
      <c r="DXS5" s="138"/>
      <c r="DXT5" s="138"/>
      <c r="DXU5" s="138"/>
      <c r="DXV5" s="138"/>
      <c r="DXW5" s="138"/>
      <c r="DXX5" s="138"/>
      <c r="DXY5" s="138"/>
      <c r="DXZ5" s="138"/>
      <c r="DYA5" s="138"/>
      <c r="DYB5" s="138"/>
      <c r="DYC5" s="138"/>
      <c r="DYD5" s="138"/>
      <c r="DYE5" s="138"/>
      <c r="DYF5" s="138"/>
      <c r="DYG5" s="138"/>
      <c r="DYH5" s="138"/>
      <c r="DYI5" s="138"/>
      <c r="DYJ5" s="138"/>
      <c r="DYK5" s="138"/>
      <c r="DYL5" s="138"/>
      <c r="DYM5" s="138"/>
      <c r="DYN5" s="138"/>
      <c r="DYO5" s="138"/>
      <c r="DYP5" s="138"/>
      <c r="DYQ5" s="138"/>
      <c r="DYR5" s="138"/>
      <c r="DYS5" s="138"/>
      <c r="DYT5" s="138"/>
      <c r="DYU5" s="138"/>
      <c r="DYV5" s="138"/>
      <c r="DYW5" s="138"/>
      <c r="DYX5" s="138"/>
      <c r="DYY5" s="138"/>
      <c r="DYZ5" s="138"/>
      <c r="DZA5" s="138"/>
      <c r="DZB5" s="138"/>
      <c r="DZC5" s="138"/>
      <c r="DZD5" s="138"/>
      <c r="DZE5" s="138"/>
      <c r="DZF5" s="138"/>
      <c r="DZG5" s="138"/>
      <c r="DZH5" s="138"/>
      <c r="DZI5" s="138"/>
      <c r="DZJ5" s="138"/>
      <c r="DZK5" s="138"/>
      <c r="DZL5" s="138"/>
      <c r="DZM5" s="138"/>
      <c r="DZN5" s="138"/>
      <c r="DZO5" s="138"/>
      <c r="DZP5" s="138"/>
      <c r="DZQ5" s="138"/>
      <c r="DZR5" s="138"/>
      <c r="DZS5" s="138"/>
      <c r="DZT5" s="138"/>
      <c r="DZU5" s="138"/>
      <c r="DZV5" s="138"/>
      <c r="DZW5" s="138"/>
      <c r="DZX5" s="138"/>
      <c r="DZY5" s="138"/>
      <c r="DZZ5" s="138"/>
      <c r="EAA5" s="138"/>
      <c r="EAB5" s="138"/>
      <c r="EAC5" s="138"/>
      <c r="EAD5" s="138"/>
      <c r="EAE5" s="138"/>
      <c r="EAF5" s="138"/>
      <c r="EAG5" s="138"/>
      <c r="EAH5" s="138"/>
      <c r="EAI5" s="138"/>
      <c r="EAJ5" s="138"/>
      <c r="EAK5" s="138"/>
      <c r="EAL5" s="138"/>
      <c r="EAM5" s="138"/>
      <c r="EAN5" s="138"/>
      <c r="EAO5" s="138"/>
      <c r="EAP5" s="138"/>
      <c r="EAQ5" s="138"/>
      <c r="EAR5" s="138"/>
      <c r="EAS5" s="138"/>
      <c r="EAT5" s="138"/>
      <c r="EAU5" s="138"/>
      <c r="EAV5" s="138"/>
      <c r="EAW5" s="138"/>
      <c r="EAX5" s="138"/>
      <c r="EAY5" s="138"/>
      <c r="EAZ5" s="138"/>
      <c r="EBA5" s="138"/>
      <c r="EBB5" s="138"/>
      <c r="EBC5" s="138"/>
      <c r="EBD5" s="138"/>
      <c r="EBE5" s="138"/>
      <c r="EBF5" s="138"/>
      <c r="EBG5" s="138"/>
      <c r="EBH5" s="138"/>
      <c r="EBI5" s="138"/>
      <c r="EBJ5" s="138"/>
      <c r="EBK5" s="138"/>
      <c r="EBL5" s="138"/>
      <c r="EBM5" s="138"/>
      <c r="EBN5" s="138"/>
      <c r="EBO5" s="138"/>
      <c r="EBP5" s="138"/>
      <c r="EBQ5" s="138"/>
      <c r="EBR5" s="138"/>
      <c r="EBS5" s="138"/>
      <c r="EBT5" s="138"/>
      <c r="EBU5" s="138"/>
      <c r="EBV5" s="138"/>
      <c r="EBW5" s="138"/>
      <c r="EBX5" s="138"/>
      <c r="EBY5" s="138"/>
      <c r="EBZ5" s="138"/>
      <c r="ECA5" s="138"/>
      <c r="ECB5" s="138"/>
      <c r="ECC5" s="138"/>
      <c r="ECD5" s="138"/>
      <c r="ECE5" s="138"/>
      <c r="ECF5" s="138"/>
      <c r="ECG5" s="138"/>
      <c r="ECH5" s="138"/>
      <c r="ECI5" s="138"/>
      <c r="ECJ5" s="138"/>
      <c r="ECK5" s="138"/>
      <c r="ECL5" s="138"/>
      <c r="ECM5" s="138"/>
      <c r="ECN5" s="138"/>
      <c r="ECO5" s="138"/>
      <c r="ECP5" s="138"/>
      <c r="ECQ5" s="138"/>
      <c r="ECR5" s="138"/>
      <c r="ECS5" s="138"/>
      <c r="ECT5" s="138"/>
      <c r="ECU5" s="138"/>
      <c r="ECV5" s="138"/>
      <c r="ECW5" s="138"/>
      <c r="ECX5" s="138"/>
      <c r="ECY5" s="138"/>
      <c r="ECZ5" s="138"/>
      <c r="EDA5" s="138"/>
      <c r="EDB5" s="138"/>
      <c r="EDC5" s="138"/>
      <c r="EDD5" s="138"/>
      <c r="EDE5" s="138"/>
      <c r="EDF5" s="138"/>
      <c r="EDG5" s="138"/>
      <c r="EDH5" s="138"/>
      <c r="EDI5" s="138"/>
      <c r="EDJ5" s="138"/>
      <c r="EDK5" s="138"/>
      <c r="EDL5" s="138"/>
      <c r="EDM5" s="138"/>
      <c r="EDN5" s="138"/>
      <c r="EDO5" s="138"/>
      <c r="EDP5" s="138"/>
      <c r="EDQ5" s="138"/>
      <c r="EDR5" s="138"/>
      <c r="EDS5" s="138"/>
      <c r="EDT5" s="138"/>
      <c r="EDU5" s="138"/>
      <c r="EDV5" s="138"/>
      <c r="EDW5" s="138"/>
      <c r="EDX5" s="138"/>
      <c r="EDY5" s="138"/>
      <c r="EDZ5" s="138"/>
      <c r="EEA5" s="138"/>
      <c r="EEB5" s="138"/>
      <c r="EEC5" s="138"/>
      <c r="EED5" s="138"/>
      <c r="EEE5" s="138"/>
      <c r="EEF5" s="138"/>
      <c r="EEG5" s="138"/>
      <c r="EEH5" s="138"/>
      <c r="EEI5" s="138"/>
      <c r="EEJ5" s="138"/>
      <c r="EEK5" s="138"/>
      <c r="EEL5" s="138"/>
      <c r="EEM5" s="138"/>
      <c r="EEN5" s="138"/>
      <c r="EEO5" s="138"/>
      <c r="EEP5" s="138"/>
      <c r="EEQ5" s="138"/>
      <c r="EER5" s="138"/>
      <c r="EES5" s="138"/>
      <c r="EET5" s="138"/>
      <c r="EEU5" s="138"/>
      <c r="EEV5" s="138"/>
      <c r="EEW5" s="138"/>
      <c r="EEX5" s="138"/>
      <c r="EEY5" s="138"/>
      <c r="EEZ5" s="138"/>
      <c r="EFA5" s="138"/>
      <c r="EFB5" s="138"/>
      <c r="EFC5" s="138"/>
      <c r="EFD5" s="138"/>
      <c r="EFE5" s="138"/>
      <c r="EFF5" s="138"/>
      <c r="EFG5" s="138"/>
      <c r="EFH5" s="138"/>
      <c r="EFI5" s="138"/>
      <c r="EFJ5" s="138"/>
      <c r="EFK5" s="138"/>
      <c r="EFL5" s="138"/>
      <c r="EFM5" s="138"/>
      <c r="EFN5" s="138"/>
      <c r="EFO5" s="138"/>
      <c r="EFP5" s="138"/>
      <c r="EFQ5" s="138"/>
      <c r="EFR5" s="138"/>
      <c r="EFS5" s="138"/>
      <c r="EFT5" s="138"/>
      <c r="EFU5" s="138"/>
      <c r="EFV5" s="138"/>
      <c r="EFW5" s="138"/>
      <c r="EFX5" s="138"/>
      <c r="EFY5" s="138"/>
      <c r="EFZ5" s="138"/>
      <c r="EGA5" s="138"/>
      <c r="EGB5" s="138"/>
      <c r="EGC5" s="138"/>
      <c r="EGD5" s="138"/>
      <c r="EGE5" s="138"/>
      <c r="EGF5" s="138"/>
      <c r="EGG5" s="138"/>
      <c r="EGH5" s="138"/>
      <c r="EGI5" s="138"/>
      <c r="EGJ5" s="138"/>
      <c r="EGK5" s="138"/>
      <c r="EGL5" s="138"/>
      <c r="EGM5" s="138"/>
      <c r="EGN5" s="138"/>
      <c r="EGO5" s="138"/>
      <c r="EGP5" s="138"/>
      <c r="EGQ5" s="138"/>
      <c r="EGR5" s="138"/>
      <c r="EGS5" s="138"/>
      <c r="EGT5" s="138"/>
      <c r="EGU5" s="138"/>
      <c r="EGV5" s="138"/>
      <c r="EGW5" s="138"/>
      <c r="EGX5" s="138"/>
      <c r="EGY5" s="138"/>
      <c r="EGZ5" s="138"/>
      <c r="EHA5" s="138"/>
      <c r="EHB5" s="138"/>
      <c r="EHC5" s="138"/>
      <c r="EHD5" s="138"/>
      <c r="EHE5" s="138"/>
      <c r="EHF5" s="138"/>
      <c r="EHG5" s="138"/>
      <c r="EHH5" s="138"/>
      <c r="EHI5" s="138"/>
      <c r="EHJ5" s="138"/>
      <c r="EHK5" s="138"/>
      <c r="EHL5" s="138"/>
      <c r="EHM5" s="138"/>
      <c r="EHN5" s="138"/>
      <c r="EHO5" s="138"/>
      <c r="EHP5" s="138"/>
      <c r="EHQ5" s="138"/>
      <c r="EHR5" s="138"/>
      <c r="EHS5" s="138"/>
      <c r="EHT5" s="138"/>
      <c r="EHU5" s="138"/>
      <c r="EHV5" s="138"/>
      <c r="EHW5" s="138"/>
      <c r="EHX5" s="138"/>
      <c r="EHY5" s="138"/>
      <c r="EHZ5" s="138"/>
      <c r="EIA5" s="138"/>
      <c r="EIB5" s="138"/>
      <c r="EIC5" s="138"/>
      <c r="EID5" s="138"/>
      <c r="EIE5" s="138"/>
      <c r="EIF5" s="138"/>
      <c r="EIG5" s="138"/>
      <c r="EIH5" s="138"/>
      <c r="EII5" s="138"/>
      <c r="EIJ5" s="138"/>
      <c r="EIK5" s="138"/>
      <c r="EIL5" s="138"/>
      <c r="EIM5" s="138"/>
      <c r="EIN5" s="138"/>
      <c r="EIO5" s="138"/>
      <c r="EIP5" s="138"/>
      <c r="EIQ5" s="138"/>
      <c r="EIR5" s="138"/>
      <c r="EIS5" s="138"/>
      <c r="EIT5" s="138"/>
      <c r="EIU5" s="138"/>
      <c r="EIV5" s="138"/>
      <c r="EIW5" s="138"/>
      <c r="EIX5" s="138"/>
      <c r="EIY5" s="138"/>
      <c r="EIZ5" s="138"/>
      <c r="EJA5" s="138"/>
      <c r="EJB5" s="138"/>
      <c r="EJC5" s="138"/>
      <c r="EJD5" s="138"/>
      <c r="EJE5" s="138"/>
      <c r="EJF5" s="138"/>
      <c r="EJG5" s="138"/>
      <c r="EJH5" s="138"/>
      <c r="EJI5" s="138"/>
      <c r="EJJ5" s="138"/>
      <c r="EJK5" s="138"/>
      <c r="EJL5" s="138"/>
      <c r="EJM5" s="138"/>
      <c r="EJN5" s="138"/>
      <c r="EJO5" s="138"/>
      <c r="EJP5" s="138"/>
      <c r="EJQ5" s="138"/>
      <c r="EJR5" s="138"/>
      <c r="EJS5" s="138"/>
      <c r="EJT5" s="138"/>
      <c r="EJU5" s="138"/>
      <c r="EJV5" s="138"/>
      <c r="EJW5" s="138"/>
      <c r="EJX5" s="138"/>
      <c r="EJY5" s="138"/>
      <c r="EJZ5" s="138"/>
      <c r="EKA5" s="138"/>
      <c r="EKB5" s="138"/>
      <c r="EKC5" s="138"/>
      <c r="EKD5" s="138"/>
      <c r="EKE5" s="138"/>
      <c r="EKF5" s="138"/>
      <c r="EKG5" s="138"/>
      <c r="EKH5" s="138"/>
      <c r="EKI5" s="138"/>
      <c r="EKJ5" s="138"/>
      <c r="EKK5" s="138"/>
      <c r="EKL5" s="138"/>
      <c r="EKM5" s="138"/>
      <c r="EKN5" s="138"/>
      <c r="EKO5" s="138"/>
      <c r="EKP5" s="138"/>
      <c r="EKQ5" s="138"/>
      <c r="EKR5" s="138"/>
      <c r="EKS5" s="138"/>
      <c r="EKT5" s="138"/>
      <c r="EKU5" s="138"/>
      <c r="EKV5" s="138"/>
      <c r="EKW5" s="138"/>
      <c r="EKX5" s="138"/>
      <c r="EKY5" s="138"/>
      <c r="EKZ5" s="138"/>
      <c r="ELA5" s="138"/>
      <c r="ELB5" s="138"/>
      <c r="ELC5" s="138"/>
      <c r="ELD5" s="138"/>
      <c r="ELE5" s="138"/>
      <c r="ELF5" s="138"/>
      <c r="ELG5" s="138"/>
      <c r="ELH5" s="138"/>
      <c r="ELI5" s="138"/>
      <c r="ELJ5" s="138"/>
      <c r="ELK5" s="138"/>
      <c r="ELL5" s="138"/>
      <c r="ELM5" s="138"/>
      <c r="ELN5" s="138"/>
      <c r="ELO5" s="138"/>
      <c r="ELP5" s="138"/>
      <c r="ELQ5" s="138"/>
      <c r="ELR5" s="138"/>
      <c r="ELS5" s="138"/>
      <c r="ELT5" s="138"/>
      <c r="ELU5" s="138"/>
      <c r="ELV5" s="138"/>
      <c r="ELW5" s="138"/>
      <c r="ELX5" s="138"/>
      <c r="ELY5" s="138"/>
      <c r="ELZ5" s="138"/>
      <c r="EMA5" s="138"/>
      <c r="EMB5" s="138"/>
      <c r="EMC5" s="138"/>
      <c r="EMD5" s="138"/>
      <c r="EME5" s="138"/>
      <c r="EMF5" s="138"/>
      <c r="EMG5" s="138"/>
      <c r="EMH5" s="138"/>
      <c r="EMI5" s="138"/>
      <c r="EMJ5" s="138"/>
      <c r="EMK5" s="138"/>
      <c r="EML5" s="138"/>
      <c r="EMM5" s="138"/>
      <c r="EMN5" s="138"/>
      <c r="EMO5" s="138"/>
      <c r="EMP5" s="138"/>
      <c r="EMQ5" s="138"/>
      <c r="EMR5" s="138"/>
      <c r="EMS5" s="138"/>
      <c r="EMT5" s="138"/>
      <c r="EMU5" s="138"/>
      <c r="EMV5" s="138"/>
      <c r="EMW5" s="138"/>
      <c r="EMX5" s="138"/>
      <c r="EMY5" s="138"/>
      <c r="EMZ5" s="138"/>
      <c r="ENA5" s="138"/>
      <c r="ENB5" s="138"/>
      <c r="ENC5" s="138"/>
      <c r="END5" s="138"/>
      <c r="ENE5" s="138"/>
      <c r="ENF5" s="138"/>
      <c r="ENG5" s="138"/>
      <c r="ENH5" s="138"/>
      <c r="ENI5" s="138"/>
      <c r="ENJ5" s="138"/>
      <c r="ENK5" s="138"/>
      <c r="ENL5" s="138"/>
      <c r="ENM5" s="138"/>
      <c r="ENN5" s="138"/>
      <c r="ENO5" s="138"/>
      <c r="ENP5" s="138"/>
      <c r="ENQ5" s="138"/>
      <c r="ENR5" s="138"/>
      <c r="ENS5" s="138"/>
      <c r="ENT5" s="138"/>
      <c r="ENU5" s="138"/>
      <c r="ENV5" s="138"/>
      <c r="ENW5" s="138"/>
      <c r="ENX5" s="138"/>
      <c r="ENY5" s="138"/>
      <c r="ENZ5" s="138"/>
      <c r="EOA5" s="138"/>
      <c r="EOB5" s="138"/>
      <c r="EOC5" s="138"/>
      <c r="EOD5" s="138"/>
      <c r="EOE5" s="138"/>
      <c r="EOF5" s="138"/>
      <c r="EOG5" s="138"/>
      <c r="EOH5" s="138"/>
      <c r="EOI5" s="138"/>
      <c r="EOJ5" s="138"/>
      <c r="EOK5" s="138"/>
      <c r="EOL5" s="138"/>
      <c r="EOM5" s="138"/>
      <c r="EON5" s="138"/>
      <c r="EOO5" s="138"/>
      <c r="EOP5" s="138"/>
      <c r="EOQ5" s="138"/>
      <c r="EOR5" s="138"/>
      <c r="EOS5" s="138"/>
      <c r="EOT5" s="138"/>
      <c r="EOU5" s="138"/>
      <c r="EOV5" s="138"/>
      <c r="EOW5" s="138"/>
      <c r="EOX5" s="138"/>
      <c r="EOY5" s="138"/>
      <c r="EOZ5" s="138"/>
      <c r="EPA5" s="138"/>
      <c r="EPB5" s="138"/>
      <c r="EPC5" s="138"/>
      <c r="EPD5" s="138"/>
      <c r="EPE5" s="138"/>
      <c r="EPF5" s="138"/>
      <c r="EPG5" s="138"/>
      <c r="EPH5" s="138"/>
      <c r="EPI5" s="138"/>
      <c r="EPJ5" s="138"/>
      <c r="EPK5" s="138"/>
      <c r="EPL5" s="138"/>
      <c r="EPM5" s="138"/>
      <c r="EPN5" s="138"/>
      <c r="EPO5" s="138"/>
      <c r="EPP5" s="138"/>
      <c r="EPQ5" s="138"/>
      <c r="EPR5" s="138"/>
      <c r="EPS5" s="138"/>
      <c r="EPT5" s="138"/>
      <c r="EPU5" s="138"/>
      <c r="EPV5" s="138"/>
      <c r="EPW5" s="138"/>
      <c r="EPX5" s="138"/>
      <c r="EPY5" s="138"/>
      <c r="EPZ5" s="138"/>
      <c r="EQA5" s="138"/>
      <c r="EQB5" s="138"/>
      <c r="EQC5" s="138"/>
      <c r="EQD5" s="138"/>
      <c r="EQE5" s="138"/>
      <c r="EQF5" s="138"/>
      <c r="EQG5" s="138"/>
      <c r="EQH5" s="138"/>
      <c r="EQI5" s="138"/>
      <c r="EQJ5" s="138"/>
      <c r="EQK5" s="138"/>
      <c r="EQL5" s="138"/>
      <c r="EQM5" s="138"/>
      <c r="EQN5" s="138"/>
      <c r="EQO5" s="138"/>
      <c r="EQP5" s="138"/>
      <c r="EQQ5" s="138"/>
      <c r="EQR5" s="138"/>
      <c r="EQS5" s="138"/>
      <c r="EQT5" s="138"/>
      <c r="EQU5" s="138"/>
      <c r="EQV5" s="138"/>
      <c r="EQW5" s="138"/>
      <c r="EQX5" s="138"/>
      <c r="EQY5" s="138"/>
      <c r="EQZ5" s="138"/>
      <c r="ERA5" s="138"/>
      <c r="ERB5" s="138"/>
      <c r="ERC5" s="138"/>
      <c r="ERD5" s="138"/>
      <c r="ERE5" s="138"/>
      <c r="ERF5" s="138"/>
      <c r="ERG5" s="138"/>
      <c r="ERH5" s="138"/>
      <c r="ERI5" s="138"/>
      <c r="ERJ5" s="138"/>
      <c r="ERK5" s="138"/>
      <c r="ERL5" s="138"/>
      <c r="ERM5" s="138"/>
      <c r="ERN5" s="138"/>
      <c r="ERO5" s="138"/>
      <c r="ERP5" s="138"/>
      <c r="ERQ5" s="138"/>
      <c r="ERR5" s="138"/>
      <c r="ERS5" s="138"/>
      <c r="ERT5" s="138"/>
      <c r="ERU5" s="138"/>
      <c r="ERV5" s="138"/>
      <c r="ERW5" s="138"/>
      <c r="ERX5" s="138"/>
      <c r="ERY5" s="138"/>
      <c r="ERZ5" s="138"/>
      <c r="ESA5" s="138"/>
      <c r="ESB5" s="138"/>
      <c r="ESC5" s="138"/>
      <c r="ESD5" s="138"/>
      <c r="ESE5" s="138"/>
      <c r="ESF5" s="138"/>
      <c r="ESG5" s="138"/>
      <c r="ESH5" s="138"/>
      <c r="ESI5" s="138"/>
      <c r="ESJ5" s="138"/>
      <c r="ESK5" s="138"/>
      <c r="ESL5" s="138"/>
      <c r="ESM5" s="138"/>
      <c r="ESN5" s="138"/>
      <c r="ESO5" s="138"/>
      <c r="ESP5" s="138"/>
      <c r="ESQ5" s="138"/>
      <c r="ESR5" s="138"/>
      <c r="ESS5" s="138"/>
      <c r="EST5" s="138"/>
      <c r="ESU5" s="138"/>
      <c r="ESV5" s="138"/>
      <c r="ESW5" s="138"/>
      <c r="ESX5" s="138"/>
      <c r="ESY5" s="138"/>
      <c r="ESZ5" s="138"/>
      <c r="ETA5" s="138"/>
      <c r="ETB5" s="138"/>
      <c r="ETC5" s="138"/>
      <c r="ETD5" s="138"/>
      <c r="ETE5" s="138"/>
      <c r="ETF5" s="138"/>
      <c r="ETG5" s="138"/>
      <c r="ETH5" s="138"/>
      <c r="ETI5" s="138"/>
      <c r="ETJ5" s="138"/>
      <c r="ETK5" s="138"/>
      <c r="ETL5" s="138"/>
      <c r="ETM5" s="138"/>
      <c r="ETN5" s="138"/>
      <c r="ETO5" s="138"/>
      <c r="ETP5" s="138"/>
      <c r="ETQ5" s="138"/>
      <c r="ETR5" s="138"/>
      <c r="ETS5" s="138"/>
      <c r="ETT5" s="138"/>
      <c r="ETU5" s="138"/>
      <c r="ETV5" s="138"/>
      <c r="ETW5" s="138"/>
      <c r="ETX5" s="138"/>
      <c r="ETY5" s="138"/>
      <c r="ETZ5" s="138"/>
      <c r="EUA5" s="138"/>
      <c r="EUB5" s="138"/>
      <c r="EUC5" s="138"/>
      <c r="EUD5" s="138"/>
      <c r="EUE5" s="138"/>
      <c r="EUF5" s="138"/>
      <c r="EUG5" s="138"/>
      <c r="EUH5" s="138"/>
      <c r="EUI5" s="138"/>
      <c r="EUJ5" s="138"/>
      <c r="EUK5" s="138"/>
      <c r="EUL5" s="138"/>
      <c r="EUM5" s="138"/>
      <c r="EUN5" s="138"/>
      <c r="EUO5" s="138"/>
      <c r="EUP5" s="138"/>
      <c r="EUQ5" s="138"/>
      <c r="EUR5" s="138"/>
      <c r="EUS5" s="138"/>
      <c r="EUT5" s="138"/>
      <c r="EUU5" s="138"/>
      <c r="EUV5" s="138"/>
      <c r="EUW5" s="138"/>
      <c r="EUX5" s="138"/>
      <c r="EUY5" s="138"/>
      <c r="EUZ5" s="138"/>
      <c r="EVA5" s="138"/>
      <c r="EVB5" s="138"/>
      <c r="EVC5" s="138"/>
      <c r="EVD5" s="138"/>
      <c r="EVE5" s="138"/>
      <c r="EVF5" s="138"/>
      <c r="EVG5" s="138"/>
      <c r="EVH5" s="138"/>
      <c r="EVI5" s="138"/>
      <c r="EVJ5" s="138"/>
      <c r="EVK5" s="138"/>
      <c r="EVL5" s="138"/>
      <c r="EVM5" s="138"/>
      <c r="EVN5" s="138"/>
      <c r="EVO5" s="138"/>
      <c r="EVP5" s="138"/>
      <c r="EVQ5" s="138"/>
      <c r="EVR5" s="138"/>
      <c r="EVS5" s="138"/>
      <c r="EVT5" s="138"/>
      <c r="EVU5" s="138"/>
      <c r="EVV5" s="138"/>
      <c r="EVW5" s="138"/>
      <c r="EVX5" s="138"/>
      <c r="EVY5" s="138"/>
      <c r="EVZ5" s="138"/>
      <c r="EWA5" s="138"/>
      <c r="EWB5" s="138"/>
      <c r="EWC5" s="138"/>
      <c r="EWD5" s="138"/>
      <c r="EWE5" s="138"/>
      <c r="EWF5" s="138"/>
      <c r="EWG5" s="138"/>
      <c r="EWH5" s="138"/>
      <c r="EWI5" s="138"/>
      <c r="EWJ5" s="138"/>
      <c r="EWK5" s="138"/>
      <c r="EWL5" s="138"/>
      <c r="EWM5" s="138"/>
      <c r="EWN5" s="138"/>
      <c r="EWO5" s="138"/>
      <c r="EWP5" s="138"/>
      <c r="EWQ5" s="138"/>
      <c r="EWR5" s="138"/>
      <c r="EWS5" s="138"/>
      <c r="EWT5" s="138"/>
      <c r="EWU5" s="138"/>
      <c r="EWV5" s="138"/>
      <c r="EWW5" s="138"/>
      <c r="EWX5" s="138"/>
      <c r="EWY5" s="138"/>
      <c r="EWZ5" s="138"/>
      <c r="EXA5" s="138"/>
      <c r="EXB5" s="138"/>
      <c r="EXC5" s="138"/>
      <c r="EXD5" s="138"/>
      <c r="EXE5" s="138"/>
      <c r="EXF5" s="138"/>
      <c r="EXG5" s="138"/>
      <c r="EXH5" s="138"/>
      <c r="EXI5" s="138"/>
      <c r="EXJ5" s="138"/>
      <c r="EXK5" s="138"/>
      <c r="EXL5" s="138"/>
      <c r="EXM5" s="138"/>
      <c r="EXN5" s="138"/>
      <c r="EXO5" s="138"/>
      <c r="EXP5" s="138"/>
      <c r="EXQ5" s="138"/>
      <c r="EXR5" s="138"/>
      <c r="EXS5" s="138"/>
      <c r="EXT5" s="138"/>
      <c r="EXU5" s="138"/>
      <c r="EXV5" s="138"/>
      <c r="EXW5" s="138"/>
      <c r="EXX5" s="138"/>
      <c r="EXY5" s="138"/>
      <c r="EXZ5" s="138"/>
      <c r="EYA5" s="138"/>
      <c r="EYB5" s="138"/>
      <c r="EYC5" s="138"/>
      <c r="EYD5" s="138"/>
      <c r="EYE5" s="138"/>
      <c r="EYF5" s="138"/>
      <c r="EYG5" s="138"/>
      <c r="EYH5" s="138"/>
      <c r="EYI5" s="138"/>
      <c r="EYJ5" s="138"/>
      <c r="EYK5" s="138"/>
      <c r="EYL5" s="138"/>
      <c r="EYM5" s="138"/>
      <c r="EYN5" s="138"/>
      <c r="EYO5" s="138"/>
      <c r="EYP5" s="138"/>
      <c r="EYQ5" s="138"/>
      <c r="EYR5" s="138"/>
      <c r="EYS5" s="138"/>
      <c r="EYT5" s="138"/>
      <c r="EYU5" s="138"/>
      <c r="EYV5" s="138"/>
      <c r="EYW5" s="138"/>
      <c r="EYX5" s="138"/>
      <c r="EYY5" s="138"/>
      <c r="EYZ5" s="138"/>
      <c r="EZA5" s="138"/>
      <c r="EZB5" s="138"/>
      <c r="EZC5" s="138"/>
      <c r="EZD5" s="138"/>
      <c r="EZE5" s="138"/>
      <c r="EZF5" s="138"/>
      <c r="EZG5" s="138"/>
      <c r="EZH5" s="138"/>
      <c r="EZI5" s="138"/>
      <c r="EZJ5" s="138"/>
      <c r="EZK5" s="138"/>
      <c r="EZL5" s="138"/>
      <c r="EZM5" s="138"/>
      <c r="EZN5" s="138"/>
      <c r="EZO5" s="138"/>
      <c r="EZP5" s="138"/>
      <c r="EZQ5" s="138"/>
      <c r="EZR5" s="138"/>
      <c r="EZS5" s="138"/>
      <c r="EZT5" s="138"/>
      <c r="EZU5" s="138"/>
      <c r="EZV5" s="138"/>
      <c r="EZW5" s="138"/>
      <c r="EZX5" s="138"/>
      <c r="EZY5" s="138"/>
      <c r="EZZ5" s="138"/>
      <c r="FAA5" s="138"/>
      <c r="FAB5" s="138"/>
      <c r="FAC5" s="138"/>
      <c r="FAD5" s="138"/>
      <c r="FAE5" s="138"/>
      <c r="FAF5" s="138"/>
      <c r="FAG5" s="138"/>
      <c r="FAH5" s="138"/>
      <c r="FAI5" s="138"/>
      <c r="FAJ5" s="138"/>
      <c r="FAK5" s="138"/>
      <c r="FAL5" s="138"/>
      <c r="FAM5" s="138"/>
      <c r="FAN5" s="138"/>
      <c r="FAO5" s="138"/>
      <c r="FAP5" s="138"/>
      <c r="FAQ5" s="138"/>
      <c r="FAR5" s="138"/>
      <c r="FAS5" s="138"/>
      <c r="FAT5" s="138"/>
      <c r="FAU5" s="138"/>
      <c r="FAV5" s="138"/>
      <c r="FAW5" s="138"/>
      <c r="FAX5" s="138"/>
      <c r="FAY5" s="138"/>
      <c r="FAZ5" s="138"/>
      <c r="FBA5" s="138"/>
      <c r="FBB5" s="138"/>
      <c r="FBC5" s="138"/>
      <c r="FBD5" s="138"/>
      <c r="FBE5" s="138"/>
      <c r="FBF5" s="138"/>
      <c r="FBG5" s="138"/>
      <c r="FBH5" s="138"/>
      <c r="FBI5" s="138"/>
      <c r="FBJ5" s="138"/>
      <c r="FBK5" s="138"/>
      <c r="FBL5" s="138"/>
      <c r="FBM5" s="138"/>
      <c r="FBN5" s="138"/>
      <c r="FBO5" s="138"/>
      <c r="FBP5" s="138"/>
      <c r="FBQ5" s="138"/>
      <c r="FBR5" s="138"/>
      <c r="FBS5" s="138"/>
      <c r="FBT5" s="138"/>
      <c r="FBU5" s="138"/>
      <c r="FBV5" s="138"/>
      <c r="FBW5" s="138"/>
      <c r="FBX5" s="138"/>
      <c r="FBY5" s="138"/>
      <c r="FBZ5" s="138"/>
      <c r="FCA5" s="138"/>
      <c r="FCB5" s="138"/>
      <c r="FCC5" s="138"/>
      <c r="FCD5" s="138"/>
      <c r="FCE5" s="138"/>
      <c r="FCF5" s="138"/>
      <c r="FCG5" s="138"/>
      <c r="FCH5" s="138"/>
      <c r="FCI5" s="138"/>
      <c r="FCJ5" s="138"/>
      <c r="FCK5" s="138"/>
      <c r="FCL5" s="138"/>
      <c r="FCM5" s="138"/>
      <c r="FCN5" s="138"/>
      <c r="FCO5" s="138"/>
      <c r="FCP5" s="138"/>
      <c r="FCQ5" s="138"/>
      <c r="FCR5" s="138"/>
      <c r="FCS5" s="138"/>
      <c r="FCT5" s="138"/>
      <c r="FCU5" s="138"/>
      <c r="FCV5" s="138"/>
      <c r="FCW5" s="138"/>
      <c r="FCX5" s="138"/>
      <c r="FCY5" s="138"/>
      <c r="FCZ5" s="138"/>
      <c r="FDA5" s="138"/>
      <c r="FDB5" s="138"/>
      <c r="FDC5" s="138"/>
      <c r="FDD5" s="138"/>
      <c r="FDE5" s="138"/>
      <c r="FDF5" s="138"/>
      <c r="FDG5" s="138"/>
      <c r="FDH5" s="138"/>
      <c r="FDI5" s="138"/>
      <c r="FDJ5" s="138"/>
      <c r="FDK5" s="138"/>
      <c r="FDL5" s="138"/>
      <c r="FDM5" s="138"/>
      <c r="FDN5" s="138"/>
      <c r="FDO5" s="138"/>
      <c r="FDP5" s="138"/>
      <c r="FDQ5" s="138"/>
      <c r="FDR5" s="138"/>
      <c r="FDS5" s="138"/>
      <c r="FDT5" s="138"/>
      <c r="FDU5" s="138"/>
      <c r="FDV5" s="138"/>
      <c r="FDW5" s="138"/>
      <c r="FDX5" s="138"/>
      <c r="FDY5" s="138"/>
      <c r="FDZ5" s="138"/>
      <c r="FEA5" s="138"/>
      <c r="FEB5" s="138"/>
      <c r="FEC5" s="138"/>
      <c r="FED5" s="138"/>
      <c r="FEE5" s="138"/>
      <c r="FEF5" s="138"/>
      <c r="FEG5" s="138"/>
      <c r="FEH5" s="138"/>
      <c r="FEI5" s="138"/>
      <c r="FEJ5" s="138"/>
      <c r="FEK5" s="138"/>
      <c r="FEL5" s="138"/>
      <c r="FEM5" s="138"/>
      <c r="FEN5" s="138"/>
      <c r="FEO5" s="138"/>
      <c r="FEP5" s="138"/>
      <c r="FEQ5" s="138"/>
      <c r="FER5" s="138"/>
      <c r="FES5" s="138"/>
      <c r="FET5" s="138"/>
      <c r="FEU5" s="138"/>
      <c r="FEV5" s="138"/>
      <c r="FEW5" s="138"/>
      <c r="FEX5" s="138"/>
      <c r="FEY5" s="138"/>
      <c r="FEZ5" s="138"/>
      <c r="FFA5" s="138"/>
      <c r="FFB5" s="138"/>
      <c r="FFC5" s="138"/>
      <c r="FFD5" s="138"/>
      <c r="FFE5" s="138"/>
      <c r="FFF5" s="138"/>
      <c r="FFG5" s="138"/>
      <c r="FFH5" s="138"/>
      <c r="FFI5" s="138"/>
      <c r="FFJ5" s="138"/>
      <c r="FFK5" s="138"/>
      <c r="FFL5" s="138"/>
      <c r="FFM5" s="138"/>
      <c r="FFN5" s="138"/>
      <c r="FFO5" s="138"/>
      <c r="FFP5" s="138"/>
      <c r="FFQ5" s="138"/>
      <c r="FFR5" s="138"/>
      <c r="FFS5" s="138"/>
      <c r="FFT5" s="138"/>
      <c r="FFU5" s="138"/>
      <c r="FFV5" s="138"/>
      <c r="FFW5" s="138"/>
      <c r="FFX5" s="138"/>
      <c r="FFY5" s="138"/>
      <c r="FFZ5" s="138"/>
      <c r="FGA5" s="138"/>
      <c r="FGB5" s="138"/>
      <c r="FGC5" s="138"/>
      <c r="FGD5" s="138"/>
      <c r="FGE5" s="138"/>
      <c r="FGF5" s="138"/>
      <c r="FGG5" s="138"/>
      <c r="FGH5" s="138"/>
      <c r="FGI5" s="138"/>
      <c r="FGJ5" s="138"/>
      <c r="FGK5" s="138"/>
      <c r="FGL5" s="138"/>
      <c r="FGM5" s="138"/>
      <c r="FGN5" s="138"/>
      <c r="FGO5" s="138"/>
      <c r="FGP5" s="138"/>
      <c r="FGQ5" s="138"/>
      <c r="FGR5" s="138"/>
      <c r="FGS5" s="138"/>
      <c r="FGT5" s="138"/>
      <c r="FGU5" s="138"/>
      <c r="FGV5" s="138"/>
      <c r="FGW5" s="138"/>
      <c r="FGX5" s="138"/>
      <c r="FGY5" s="138"/>
      <c r="FGZ5" s="138"/>
      <c r="FHA5" s="138"/>
      <c r="FHB5" s="138"/>
      <c r="FHC5" s="138"/>
      <c r="FHD5" s="138"/>
      <c r="FHE5" s="138"/>
      <c r="FHF5" s="138"/>
      <c r="FHG5" s="138"/>
      <c r="FHH5" s="138"/>
      <c r="FHI5" s="138"/>
      <c r="FHJ5" s="138"/>
      <c r="FHK5" s="138"/>
      <c r="FHL5" s="138"/>
      <c r="FHM5" s="138"/>
      <c r="FHN5" s="138"/>
      <c r="FHO5" s="138"/>
      <c r="FHP5" s="138"/>
      <c r="FHQ5" s="138"/>
      <c r="FHR5" s="138"/>
      <c r="FHS5" s="138"/>
      <c r="FHT5" s="138"/>
      <c r="FHU5" s="138"/>
      <c r="FHV5" s="138"/>
      <c r="FHW5" s="138"/>
      <c r="FHX5" s="138"/>
      <c r="FHY5" s="138"/>
      <c r="FHZ5" s="138"/>
      <c r="FIA5" s="138"/>
      <c r="FIB5" s="138"/>
      <c r="FIC5" s="138"/>
      <c r="FID5" s="138"/>
      <c r="FIE5" s="138"/>
      <c r="FIF5" s="138"/>
      <c r="FIG5" s="138"/>
      <c r="FIH5" s="138"/>
      <c r="FII5" s="138"/>
      <c r="FIJ5" s="138"/>
      <c r="FIK5" s="138"/>
      <c r="FIL5" s="138"/>
      <c r="FIM5" s="138"/>
      <c r="FIN5" s="138"/>
      <c r="FIO5" s="138"/>
      <c r="FIP5" s="138"/>
      <c r="FIQ5" s="138"/>
      <c r="FIR5" s="138"/>
      <c r="FIS5" s="138"/>
      <c r="FIT5" s="138"/>
      <c r="FIU5" s="138"/>
      <c r="FIV5" s="138"/>
      <c r="FIW5" s="138"/>
      <c r="FIX5" s="138"/>
      <c r="FIY5" s="138"/>
      <c r="FIZ5" s="138"/>
      <c r="FJA5" s="138"/>
      <c r="FJB5" s="138"/>
      <c r="FJC5" s="138"/>
      <c r="FJD5" s="138"/>
      <c r="FJE5" s="138"/>
      <c r="FJF5" s="138"/>
      <c r="FJG5" s="138"/>
      <c r="FJH5" s="138"/>
      <c r="FJI5" s="138"/>
      <c r="FJJ5" s="138"/>
      <c r="FJK5" s="138"/>
      <c r="FJL5" s="138"/>
      <c r="FJM5" s="138"/>
      <c r="FJN5" s="138"/>
      <c r="FJO5" s="138"/>
      <c r="FJP5" s="138"/>
      <c r="FJQ5" s="138"/>
      <c r="FJR5" s="138"/>
      <c r="FJS5" s="138"/>
      <c r="FJT5" s="138"/>
      <c r="FJU5" s="138"/>
      <c r="FJV5" s="138"/>
      <c r="FJW5" s="138"/>
      <c r="FJX5" s="138"/>
      <c r="FJY5" s="138"/>
      <c r="FJZ5" s="138"/>
      <c r="FKA5" s="138"/>
      <c r="FKB5" s="138"/>
      <c r="FKC5" s="138"/>
      <c r="FKD5" s="138"/>
      <c r="FKE5" s="138"/>
      <c r="FKF5" s="138"/>
      <c r="FKG5" s="138"/>
      <c r="FKH5" s="138"/>
      <c r="FKI5" s="138"/>
      <c r="FKJ5" s="138"/>
      <c r="FKK5" s="138"/>
      <c r="FKL5" s="138"/>
      <c r="FKM5" s="138"/>
      <c r="FKN5" s="138"/>
      <c r="FKO5" s="138"/>
      <c r="FKP5" s="138"/>
      <c r="FKQ5" s="138"/>
      <c r="FKR5" s="138"/>
      <c r="FKS5" s="138"/>
      <c r="FKT5" s="138"/>
      <c r="FKU5" s="138"/>
      <c r="FKV5" s="138"/>
      <c r="FKW5" s="138"/>
      <c r="FKX5" s="138"/>
      <c r="FKY5" s="138"/>
      <c r="FKZ5" s="138"/>
      <c r="FLA5" s="138"/>
      <c r="FLB5" s="138"/>
      <c r="FLC5" s="138"/>
      <c r="FLD5" s="138"/>
      <c r="FLE5" s="138"/>
      <c r="FLF5" s="138"/>
      <c r="FLG5" s="138"/>
      <c r="FLH5" s="138"/>
      <c r="FLI5" s="138"/>
      <c r="FLJ5" s="138"/>
      <c r="FLK5" s="138"/>
      <c r="FLL5" s="138"/>
      <c r="FLM5" s="138"/>
      <c r="FLN5" s="138"/>
      <c r="FLO5" s="138"/>
      <c r="FLP5" s="138"/>
      <c r="FLQ5" s="138"/>
      <c r="FLR5" s="138"/>
      <c r="FLS5" s="138"/>
      <c r="FLT5" s="138"/>
      <c r="FLU5" s="138"/>
      <c r="FLV5" s="138"/>
      <c r="FLW5" s="138"/>
      <c r="FLX5" s="138"/>
      <c r="FLY5" s="138"/>
      <c r="FLZ5" s="138"/>
      <c r="FMA5" s="138"/>
      <c r="FMB5" s="138"/>
      <c r="FMC5" s="138"/>
      <c r="FMD5" s="138"/>
      <c r="FME5" s="138"/>
      <c r="FMF5" s="138"/>
      <c r="FMG5" s="138"/>
      <c r="FMH5" s="138"/>
      <c r="FMI5" s="138"/>
      <c r="FMJ5" s="138"/>
      <c r="FMK5" s="138"/>
      <c r="FML5" s="138"/>
      <c r="FMM5" s="138"/>
      <c r="FMN5" s="138"/>
      <c r="FMO5" s="138"/>
      <c r="FMP5" s="138"/>
      <c r="FMQ5" s="138"/>
      <c r="FMR5" s="138"/>
      <c r="FMS5" s="138"/>
      <c r="FMT5" s="138"/>
      <c r="FMU5" s="138"/>
      <c r="FMV5" s="138"/>
      <c r="FMW5" s="138"/>
      <c r="FMX5" s="138"/>
      <c r="FMY5" s="138"/>
      <c r="FMZ5" s="138"/>
      <c r="FNA5" s="138"/>
      <c r="FNB5" s="138"/>
      <c r="FNC5" s="138"/>
      <c r="FND5" s="138"/>
      <c r="FNE5" s="138"/>
      <c r="FNF5" s="138"/>
      <c r="FNG5" s="138"/>
      <c r="FNH5" s="138"/>
      <c r="FNI5" s="138"/>
      <c r="FNJ5" s="138"/>
      <c r="FNK5" s="138"/>
      <c r="FNL5" s="138"/>
      <c r="FNM5" s="138"/>
      <c r="FNN5" s="138"/>
      <c r="FNO5" s="138"/>
      <c r="FNP5" s="138"/>
      <c r="FNQ5" s="138"/>
      <c r="FNR5" s="138"/>
      <c r="FNS5" s="138"/>
      <c r="FNT5" s="138"/>
      <c r="FNU5" s="138"/>
      <c r="FNV5" s="138"/>
      <c r="FNW5" s="138"/>
      <c r="FNX5" s="138"/>
      <c r="FNY5" s="138"/>
      <c r="FNZ5" s="138"/>
      <c r="FOA5" s="138"/>
      <c r="FOB5" s="138"/>
      <c r="FOC5" s="138"/>
      <c r="FOD5" s="138"/>
      <c r="FOE5" s="138"/>
      <c r="FOF5" s="138"/>
      <c r="FOG5" s="138"/>
      <c r="FOH5" s="138"/>
      <c r="FOI5" s="138"/>
      <c r="FOJ5" s="138"/>
      <c r="FOK5" s="138"/>
      <c r="FOL5" s="138"/>
      <c r="FOM5" s="138"/>
      <c r="FON5" s="138"/>
      <c r="FOO5" s="138"/>
      <c r="FOP5" s="138"/>
      <c r="FOQ5" s="138"/>
      <c r="FOR5" s="138"/>
      <c r="FOS5" s="138"/>
      <c r="FOT5" s="138"/>
      <c r="FOU5" s="138"/>
      <c r="FOV5" s="138"/>
      <c r="FOW5" s="138"/>
      <c r="FOX5" s="138"/>
      <c r="FOY5" s="138"/>
      <c r="FOZ5" s="138"/>
      <c r="FPA5" s="138"/>
      <c r="FPB5" s="138"/>
      <c r="FPC5" s="138"/>
      <c r="FPD5" s="138"/>
      <c r="FPE5" s="138"/>
      <c r="FPF5" s="138"/>
      <c r="FPG5" s="138"/>
      <c r="FPH5" s="138"/>
      <c r="FPI5" s="138"/>
      <c r="FPJ5" s="138"/>
      <c r="FPK5" s="138"/>
      <c r="FPL5" s="138"/>
      <c r="FPM5" s="138"/>
      <c r="FPN5" s="138"/>
      <c r="FPO5" s="138"/>
      <c r="FPP5" s="138"/>
      <c r="FPQ5" s="138"/>
      <c r="FPR5" s="138"/>
      <c r="FPS5" s="138"/>
      <c r="FPT5" s="138"/>
      <c r="FPU5" s="138"/>
      <c r="FPV5" s="138"/>
      <c r="FPW5" s="138"/>
      <c r="FPX5" s="138"/>
      <c r="FPY5" s="138"/>
      <c r="FPZ5" s="138"/>
      <c r="FQA5" s="138"/>
      <c r="FQB5" s="138"/>
      <c r="FQC5" s="138"/>
      <c r="FQD5" s="138"/>
      <c r="FQE5" s="138"/>
      <c r="FQF5" s="138"/>
      <c r="FQG5" s="138"/>
      <c r="FQH5" s="138"/>
      <c r="FQI5" s="138"/>
      <c r="FQJ5" s="138"/>
      <c r="FQK5" s="138"/>
      <c r="FQL5" s="138"/>
      <c r="FQM5" s="138"/>
      <c r="FQN5" s="138"/>
      <c r="FQO5" s="138"/>
      <c r="FQP5" s="138"/>
      <c r="FQQ5" s="138"/>
      <c r="FQR5" s="138"/>
      <c r="FQS5" s="138"/>
      <c r="FQT5" s="138"/>
      <c r="FQU5" s="138"/>
      <c r="FQV5" s="138"/>
      <c r="FQW5" s="138"/>
      <c r="FQX5" s="138"/>
      <c r="FQY5" s="138"/>
      <c r="FQZ5" s="138"/>
      <c r="FRA5" s="138"/>
      <c r="FRB5" s="138"/>
      <c r="FRC5" s="138"/>
      <c r="FRD5" s="138"/>
      <c r="FRE5" s="138"/>
      <c r="FRF5" s="138"/>
      <c r="FRG5" s="138"/>
      <c r="FRH5" s="138"/>
      <c r="FRI5" s="138"/>
      <c r="FRJ5" s="138"/>
      <c r="FRK5" s="138"/>
      <c r="FRL5" s="138"/>
      <c r="FRM5" s="138"/>
      <c r="FRN5" s="138"/>
      <c r="FRO5" s="138"/>
      <c r="FRP5" s="138"/>
      <c r="FRQ5" s="138"/>
      <c r="FRR5" s="138"/>
      <c r="FRS5" s="138"/>
      <c r="FRT5" s="138"/>
      <c r="FRU5" s="138"/>
      <c r="FRV5" s="138"/>
      <c r="FRW5" s="138"/>
      <c r="FRX5" s="138"/>
      <c r="FRY5" s="138"/>
      <c r="FRZ5" s="138"/>
      <c r="FSA5" s="138"/>
      <c r="FSB5" s="138"/>
      <c r="FSC5" s="138"/>
      <c r="FSD5" s="138"/>
      <c r="FSE5" s="138"/>
      <c r="FSF5" s="138"/>
      <c r="FSG5" s="138"/>
      <c r="FSH5" s="138"/>
      <c r="FSI5" s="138"/>
      <c r="FSJ5" s="138"/>
      <c r="FSK5" s="138"/>
      <c r="FSL5" s="138"/>
      <c r="FSM5" s="138"/>
      <c r="FSN5" s="138"/>
      <c r="FSO5" s="138"/>
      <c r="FSP5" s="138"/>
      <c r="FSQ5" s="138"/>
      <c r="FSR5" s="138"/>
      <c r="FSS5" s="138"/>
      <c r="FST5" s="138"/>
      <c r="FSU5" s="138"/>
      <c r="FSV5" s="138"/>
      <c r="FSW5" s="138"/>
      <c r="FSX5" s="138"/>
      <c r="FSY5" s="138"/>
      <c r="FSZ5" s="138"/>
      <c r="FTA5" s="138"/>
      <c r="FTB5" s="138"/>
      <c r="FTC5" s="138"/>
      <c r="FTD5" s="138"/>
      <c r="FTE5" s="138"/>
      <c r="FTF5" s="138"/>
      <c r="FTG5" s="138"/>
      <c r="FTH5" s="138"/>
      <c r="FTI5" s="138"/>
      <c r="FTJ5" s="138"/>
      <c r="FTK5" s="138"/>
      <c r="FTL5" s="138"/>
      <c r="FTM5" s="138"/>
      <c r="FTN5" s="138"/>
      <c r="FTO5" s="138"/>
      <c r="FTP5" s="138"/>
      <c r="FTQ5" s="138"/>
      <c r="FTR5" s="138"/>
      <c r="FTS5" s="138"/>
      <c r="FTT5" s="138"/>
      <c r="FTU5" s="138"/>
      <c r="FTV5" s="138"/>
      <c r="FTW5" s="138"/>
      <c r="FTX5" s="138"/>
      <c r="FTY5" s="138"/>
      <c r="FTZ5" s="138"/>
      <c r="FUA5" s="138"/>
      <c r="FUB5" s="138"/>
      <c r="FUC5" s="138"/>
      <c r="FUD5" s="138"/>
      <c r="FUE5" s="138"/>
      <c r="FUF5" s="138"/>
      <c r="FUG5" s="138"/>
      <c r="FUH5" s="138"/>
      <c r="FUI5" s="138"/>
      <c r="FUJ5" s="138"/>
      <c r="FUK5" s="138"/>
      <c r="FUL5" s="138"/>
      <c r="FUM5" s="138"/>
      <c r="FUN5" s="138"/>
      <c r="FUO5" s="138"/>
      <c r="FUP5" s="138"/>
      <c r="FUQ5" s="138"/>
      <c r="FUR5" s="138"/>
      <c r="FUS5" s="138"/>
      <c r="FUT5" s="138"/>
      <c r="FUU5" s="138"/>
      <c r="FUV5" s="138"/>
      <c r="FUW5" s="138"/>
      <c r="FUX5" s="138"/>
      <c r="FUY5" s="138"/>
      <c r="FUZ5" s="138"/>
      <c r="FVA5" s="138"/>
      <c r="FVB5" s="138"/>
      <c r="FVC5" s="138"/>
      <c r="FVD5" s="138"/>
      <c r="FVE5" s="138"/>
      <c r="FVF5" s="138"/>
      <c r="FVG5" s="138"/>
      <c r="FVH5" s="138"/>
      <c r="FVI5" s="138"/>
      <c r="FVJ5" s="138"/>
      <c r="FVK5" s="138"/>
      <c r="FVL5" s="138"/>
      <c r="FVM5" s="138"/>
      <c r="FVN5" s="138"/>
      <c r="FVO5" s="138"/>
      <c r="FVP5" s="138"/>
      <c r="FVQ5" s="138"/>
      <c r="FVR5" s="138"/>
      <c r="FVS5" s="138"/>
      <c r="FVT5" s="138"/>
      <c r="FVU5" s="138"/>
      <c r="FVV5" s="138"/>
      <c r="FVW5" s="138"/>
      <c r="FVX5" s="138"/>
      <c r="FVY5" s="138"/>
      <c r="FVZ5" s="138"/>
      <c r="FWA5" s="138"/>
      <c r="FWB5" s="138"/>
      <c r="FWC5" s="138"/>
      <c r="FWD5" s="138"/>
      <c r="FWE5" s="138"/>
      <c r="FWF5" s="138"/>
      <c r="FWG5" s="138"/>
      <c r="FWH5" s="138"/>
      <c r="FWI5" s="138"/>
      <c r="FWJ5" s="138"/>
      <c r="FWK5" s="138"/>
      <c r="FWL5" s="138"/>
      <c r="FWM5" s="138"/>
      <c r="FWN5" s="138"/>
      <c r="FWO5" s="138"/>
      <c r="FWP5" s="138"/>
      <c r="FWQ5" s="138"/>
      <c r="FWR5" s="138"/>
      <c r="FWS5" s="138"/>
      <c r="FWT5" s="138"/>
      <c r="FWU5" s="138"/>
      <c r="FWV5" s="138"/>
      <c r="FWW5" s="138"/>
      <c r="FWX5" s="138"/>
      <c r="FWY5" s="138"/>
      <c r="FWZ5" s="138"/>
      <c r="FXA5" s="138"/>
      <c r="FXB5" s="138"/>
      <c r="FXC5" s="138"/>
      <c r="FXD5" s="138"/>
      <c r="FXE5" s="138"/>
      <c r="FXF5" s="138"/>
      <c r="FXG5" s="138"/>
      <c r="FXH5" s="138"/>
      <c r="FXI5" s="138"/>
      <c r="FXJ5" s="138"/>
      <c r="FXK5" s="138"/>
      <c r="FXL5" s="138"/>
      <c r="FXM5" s="138"/>
      <c r="FXN5" s="138"/>
      <c r="FXO5" s="138"/>
      <c r="FXP5" s="138"/>
      <c r="FXQ5" s="138"/>
      <c r="FXR5" s="138"/>
      <c r="FXS5" s="138"/>
      <c r="FXT5" s="138"/>
      <c r="FXU5" s="138"/>
      <c r="FXV5" s="138"/>
      <c r="FXW5" s="138"/>
      <c r="FXX5" s="138"/>
      <c r="FXY5" s="138"/>
      <c r="FXZ5" s="138"/>
      <c r="FYA5" s="138"/>
      <c r="FYB5" s="138"/>
      <c r="FYC5" s="138"/>
      <c r="FYD5" s="138"/>
      <c r="FYE5" s="138"/>
      <c r="FYF5" s="138"/>
      <c r="FYG5" s="138"/>
      <c r="FYH5" s="138"/>
      <c r="FYI5" s="138"/>
      <c r="FYJ5" s="138"/>
      <c r="FYK5" s="138"/>
      <c r="FYL5" s="138"/>
      <c r="FYM5" s="138"/>
      <c r="FYN5" s="138"/>
      <c r="FYO5" s="138"/>
      <c r="FYP5" s="138"/>
      <c r="FYQ5" s="138"/>
      <c r="FYR5" s="138"/>
      <c r="FYS5" s="138"/>
      <c r="FYT5" s="138"/>
      <c r="FYU5" s="138"/>
      <c r="FYV5" s="138"/>
      <c r="FYW5" s="138"/>
      <c r="FYX5" s="138"/>
      <c r="FYY5" s="138"/>
      <c r="FYZ5" s="138"/>
      <c r="FZA5" s="138"/>
      <c r="FZB5" s="138"/>
      <c r="FZC5" s="138"/>
      <c r="FZD5" s="138"/>
      <c r="FZE5" s="138"/>
      <c r="FZF5" s="138"/>
      <c r="FZG5" s="138"/>
      <c r="FZH5" s="138"/>
      <c r="FZI5" s="138"/>
      <c r="FZJ5" s="138"/>
      <c r="FZK5" s="138"/>
      <c r="FZL5" s="138"/>
      <c r="FZM5" s="138"/>
      <c r="FZN5" s="138"/>
      <c r="FZO5" s="138"/>
      <c r="FZP5" s="138"/>
      <c r="FZQ5" s="138"/>
      <c r="FZR5" s="138"/>
      <c r="FZS5" s="138"/>
      <c r="FZT5" s="138"/>
      <c r="FZU5" s="138"/>
      <c r="FZV5" s="138"/>
      <c r="FZW5" s="138"/>
      <c r="FZX5" s="138"/>
      <c r="FZY5" s="138"/>
      <c r="FZZ5" s="138"/>
      <c r="GAA5" s="138"/>
      <c r="GAB5" s="138"/>
      <c r="GAC5" s="138"/>
      <c r="GAD5" s="138"/>
      <c r="GAE5" s="138"/>
      <c r="GAF5" s="138"/>
      <c r="GAG5" s="138"/>
      <c r="GAH5" s="138"/>
      <c r="GAI5" s="138"/>
      <c r="GAJ5" s="138"/>
      <c r="GAK5" s="138"/>
      <c r="GAL5" s="138"/>
      <c r="GAM5" s="138"/>
      <c r="GAN5" s="138"/>
      <c r="GAO5" s="138"/>
      <c r="GAP5" s="138"/>
      <c r="GAQ5" s="138"/>
      <c r="GAR5" s="138"/>
      <c r="GAS5" s="138"/>
      <c r="GAT5" s="138"/>
      <c r="GAU5" s="138"/>
      <c r="GAV5" s="138"/>
      <c r="GAW5" s="138"/>
      <c r="GAX5" s="138"/>
      <c r="GAY5" s="138"/>
      <c r="GAZ5" s="138"/>
      <c r="GBA5" s="138"/>
      <c r="GBB5" s="138"/>
      <c r="GBC5" s="138"/>
      <c r="GBD5" s="138"/>
      <c r="GBE5" s="138"/>
      <c r="GBF5" s="138"/>
      <c r="GBG5" s="138"/>
      <c r="GBH5" s="138"/>
      <c r="GBI5" s="138"/>
      <c r="GBJ5" s="138"/>
      <c r="GBK5" s="138"/>
      <c r="GBL5" s="138"/>
      <c r="GBM5" s="138"/>
      <c r="GBN5" s="138"/>
      <c r="GBO5" s="138"/>
      <c r="GBP5" s="138"/>
      <c r="GBQ5" s="138"/>
      <c r="GBR5" s="138"/>
      <c r="GBS5" s="138"/>
      <c r="GBT5" s="138"/>
      <c r="GBU5" s="138"/>
      <c r="GBV5" s="138"/>
      <c r="GBW5" s="138"/>
      <c r="GBX5" s="138"/>
      <c r="GBY5" s="138"/>
      <c r="GBZ5" s="138"/>
      <c r="GCA5" s="138"/>
      <c r="GCB5" s="138"/>
      <c r="GCC5" s="138"/>
      <c r="GCD5" s="138"/>
      <c r="GCE5" s="138"/>
      <c r="GCF5" s="138"/>
      <c r="GCG5" s="138"/>
      <c r="GCH5" s="138"/>
      <c r="GCI5" s="138"/>
      <c r="GCJ5" s="138"/>
      <c r="GCK5" s="138"/>
      <c r="GCL5" s="138"/>
      <c r="GCM5" s="138"/>
      <c r="GCN5" s="138"/>
      <c r="GCO5" s="138"/>
      <c r="GCP5" s="138"/>
      <c r="GCQ5" s="138"/>
      <c r="GCR5" s="138"/>
      <c r="GCS5" s="138"/>
      <c r="GCT5" s="138"/>
      <c r="GCU5" s="138"/>
      <c r="GCV5" s="138"/>
      <c r="GCW5" s="138"/>
      <c r="GCX5" s="138"/>
      <c r="GCY5" s="138"/>
      <c r="GCZ5" s="138"/>
      <c r="GDA5" s="138"/>
      <c r="GDB5" s="138"/>
      <c r="GDC5" s="138"/>
      <c r="GDD5" s="138"/>
      <c r="GDE5" s="138"/>
      <c r="GDF5" s="138"/>
      <c r="GDG5" s="138"/>
      <c r="GDH5" s="138"/>
      <c r="GDI5" s="138"/>
      <c r="GDJ5" s="138"/>
      <c r="GDK5" s="138"/>
      <c r="GDL5" s="138"/>
      <c r="GDM5" s="138"/>
      <c r="GDN5" s="138"/>
      <c r="GDO5" s="138"/>
      <c r="GDP5" s="138"/>
      <c r="GDQ5" s="138"/>
      <c r="GDR5" s="138"/>
      <c r="GDS5" s="138"/>
      <c r="GDT5" s="138"/>
      <c r="GDU5" s="138"/>
      <c r="GDV5" s="138"/>
      <c r="GDW5" s="138"/>
      <c r="GDX5" s="138"/>
      <c r="GDY5" s="138"/>
      <c r="GDZ5" s="138"/>
      <c r="GEA5" s="138"/>
      <c r="GEB5" s="138"/>
      <c r="GEC5" s="138"/>
      <c r="GED5" s="138"/>
      <c r="GEE5" s="138"/>
      <c r="GEF5" s="138"/>
      <c r="GEG5" s="138"/>
      <c r="GEH5" s="138"/>
      <c r="GEI5" s="138"/>
      <c r="GEJ5" s="138"/>
      <c r="GEK5" s="138"/>
      <c r="GEL5" s="138"/>
      <c r="GEM5" s="138"/>
      <c r="GEN5" s="138"/>
      <c r="GEO5" s="138"/>
      <c r="GEP5" s="138"/>
      <c r="GEQ5" s="138"/>
      <c r="GER5" s="138"/>
      <c r="GES5" s="138"/>
      <c r="GET5" s="138"/>
      <c r="GEU5" s="138"/>
      <c r="GEV5" s="138"/>
      <c r="GEW5" s="138"/>
      <c r="GEX5" s="138"/>
      <c r="GEY5" s="138"/>
      <c r="GEZ5" s="138"/>
      <c r="GFA5" s="138"/>
      <c r="GFB5" s="138"/>
      <c r="GFC5" s="138"/>
      <c r="GFD5" s="138"/>
      <c r="GFE5" s="138"/>
      <c r="GFF5" s="138"/>
      <c r="GFG5" s="138"/>
      <c r="GFH5" s="138"/>
      <c r="GFI5" s="138"/>
      <c r="GFJ5" s="138"/>
      <c r="GFK5" s="138"/>
      <c r="GFL5" s="138"/>
      <c r="GFM5" s="138"/>
      <c r="GFN5" s="138"/>
      <c r="GFO5" s="138"/>
      <c r="GFP5" s="138"/>
      <c r="GFQ5" s="138"/>
      <c r="GFR5" s="138"/>
      <c r="GFS5" s="138"/>
      <c r="GFT5" s="138"/>
      <c r="GFU5" s="138"/>
      <c r="GFV5" s="138"/>
      <c r="GFW5" s="138"/>
      <c r="GFX5" s="138"/>
      <c r="GFY5" s="138"/>
      <c r="GFZ5" s="138"/>
      <c r="GGA5" s="138"/>
      <c r="GGB5" s="138"/>
      <c r="GGC5" s="138"/>
      <c r="GGD5" s="138"/>
      <c r="GGE5" s="138"/>
      <c r="GGF5" s="138"/>
      <c r="GGG5" s="138"/>
      <c r="GGH5" s="138"/>
      <c r="GGI5" s="138"/>
      <c r="GGJ5" s="138"/>
      <c r="GGK5" s="138"/>
      <c r="GGL5" s="138"/>
      <c r="GGM5" s="138"/>
      <c r="GGN5" s="138"/>
      <c r="GGO5" s="138"/>
      <c r="GGP5" s="138"/>
      <c r="GGQ5" s="138"/>
      <c r="GGR5" s="138"/>
      <c r="GGS5" s="138"/>
      <c r="GGT5" s="138"/>
      <c r="GGU5" s="138"/>
      <c r="GGV5" s="138"/>
      <c r="GGW5" s="138"/>
      <c r="GGX5" s="138"/>
      <c r="GGY5" s="138"/>
      <c r="GGZ5" s="138"/>
      <c r="GHA5" s="138"/>
      <c r="GHB5" s="138"/>
      <c r="GHC5" s="138"/>
      <c r="GHD5" s="138"/>
      <c r="GHE5" s="138"/>
      <c r="GHF5" s="138"/>
      <c r="GHG5" s="138"/>
      <c r="GHH5" s="138"/>
      <c r="GHI5" s="138"/>
      <c r="GHJ5" s="138"/>
      <c r="GHK5" s="138"/>
      <c r="GHL5" s="138"/>
      <c r="GHM5" s="138"/>
      <c r="GHN5" s="138"/>
      <c r="GHO5" s="138"/>
      <c r="GHP5" s="138"/>
      <c r="GHQ5" s="138"/>
      <c r="GHR5" s="138"/>
      <c r="GHS5" s="138"/>
      <c r="GHT5" s="138"/>
      <c r="GHU5" s="138"/>
      <c r="GHV5" s="138"/>
      <c r="GHW5" s="138"/>
      <c r="GHX5" s="138"/>
      <c r="GHY5" s="138"/>
      <c r="GHZ5" s="138"/>
      <c r="GIA5" s="138"/>
      <c r="GIB5" s="138"/>
      <c r="GIC5" s="138"/>
      <c r="GID5" s="138"/>
      <c r="GIE5" s="138"/>
      <c r="GIF5" s="138"/>
      <c r="GIG5" s="138"/>
      <c r="GIH5" s="138"/>
      <c r="GII5" s="138"/>
      <c r="GIJ5" s="138"/>
      <c r="GIK5" s="138"/>
      <c r="GIL5" s="138"/>
      <c r="GIM5" s="138"/>
      <c r="GIN5" s="138"/>
      <c r="GIO5" s="138"/>
      <c r="GIP5" s="138"/>
      <c r="GIQ5" s="138"/>
      <c r="GIR5" s="138"/>
      <c r="GIS5" s="138"/>
      <c r="GIT5" s="138"/>
      <c r="GIU5" s="138"/>
      <c r="GIV5" s="138"/>
      <c r="GIW5" s="138"/>
      <c r="GIX5" s="138"/>
      <c r="GIY5" s="138"/>
      <c r="GIZ5" s="138"/>
      <c r="GJA5" s="138"/>
      <c r="GJB5" s="138"/>
      <c r="GJC5" s="138"/>
      <c r="GJD5" s="138"/>
      <c r="GJE5" s="138"/>
      <c r="GJF5" s="138"/>
      <c r="GJG5" s="138"/>
      <c r="GJH5" s="138"/>
      <c r="GJI5" s="138"/>
      <c r="GJJ5" s="138"/>
      <c r="GJK5" s="138"/>
      <c r="GJL5" s="138"/>
      <c r="GJM5" s="138"/>
      <c r="GJN5" s="138"/>
      <c r="GJO5" s="138"/>
      <c r="GJP5" s="138"/>
      <c r="GJQ5" s="138"/>
      <c r="GJR5" s="138"/>
      <c r="GJS5" s="138"/>
      <c r="GJT5" s="138"/>
      <c r="GJU5" s="138"/>
      <c r="GJV5" s="138"/>
      <c r="GJW5" s="138"/>
      <c r="GJX5" s="138"/>
      <c r="GJY5" s="138"/>
      <c r="GJZ5" s="138"/>
      <c r="GKA5" s="138"/>
      <c r="GKB5" s="138"/>
      <c r="GKC5" s="138"/>
      <c r="GKD5" s="138"/>
      <c r="GKE5" s="138"/>
      <c r="GKF5" s="138"/>
      <c r="GKG5" s="138"/>
      <c r="GKH5" s="138"/>
      <c r="GKI5" s="138"/>
      <c r="GKJ5" s="138"/>
      <c r="GKK5" s="138"/>
      <c r="GKL5" s="138"/>
      <c r="GKM5" s="138"/>
      <c r="GKN5" s="138"/>
      <c r="GKO5" s="138"/>
      <c r="GKP5" s="138"/>
      <c r="GKQ5" s="138"/>
      <c r="GKR5" s="138"/>
      <c r="GKS5" s="138"/>
      <c r="GKT5" s="138"/>
      <c r="GKU5" s="138"/>
      <c r="GKV5" s="138"/>
      <c r="GKW5" s="138"/>
      <c r="GKX5" s="138"/>
      <c r="GKY5" s="138"/>
      <c r="GKZ5" s="138"/>
      <c r="GLA5" s="138"/>
      <c r="GLB5" s="138"/>
      <c r="GLC5" s="138"/>
      <c r="GLD5" s="138"/>
      <c r="GLE5" s="138"/>
      <c r="GLF5" s="138"/>
      <c r="GLG5" s="138"/>
      <c r="GLH5" s="138"/>
      <c r="GLI5" s="138"/>
      <c r="GLJ5" s="138"/>
      <c r="GLK5" s="138"/>
      <c r="GLL5" s="138"/>
      <c r="GLM5" s="138"/>
      <c r="GLN5" s="138"/>
      <c r="GLO5" s="138"/>
      <c r="GLP5" s="138"/>
      <c r="GLQ5" s="138"/>
      <c r="GLR5" s="138"/>
      <c r="GLS5" s="138"/>
      <c r="GLT5" s="138"/>
      <c r="GLU5" s="138"/>
      <c r="GLV5" s="138"/>
      <c r="GLW5" s="138"/>
      <c r="GLX5" s="138"/>
      <c r="GLY5" s="138"/>
      <c r="GLZ5" s="138"/>
      <c r="GMA5" s="138"/>
      <c r="GMB5" s="138"/>
      <c r="GMC5" s="138"/>
      <c r="GMD5" s="138"/>
      <c r="GME5" s="138"/>
      <c r="GMF5" s="138"/>
      <c r="GMG5" s="138"/>
      <c r="GMH5" s="138"/>
      <c r="GMI5" s="138"/>
      <c r="GMJ5" s="138"/>
      <c r="GMK5" s="138"/>
      <c r="GML5" s="138"/>
      <c r="GMM5" s="138"/>
      <c r="GMN5" s="138"/>
      <c r="GMO5" s="138"/>
      <c r="GMP5" s="138"/>
      <c r="GMQ5" s="138"/>
      <c r="GMR5" s="138"/>
      <c r="GMS5" s="138"/>
      <c r="GMT5" s="138"/>
      <c r="GMU5" s="138"/>
      <c r="GMV5" s="138"/>
      <c r="GMW5" s="138"/>
      <c r="GMX5" s="138"/>
      <c r="GMY5" s="138"/>
      <c r="GMZ5" s="138"/>
      <c r="GNA5" s="138"/>
      <c r="GNB5" s="138"/>
      <c r="GNC5" s="138"/>
      <c r="GND5" s="138"/>
      <c r="GNE5" s="138"/>
      <c r="GNF5" s="138"/>
      <c r="GNG5" s="138"/>
      <c r="GNH5" s="138"/>
      <c r="GNI5" s="138"/>
      <c r="GNJ5" s="138"/>
      <c r="GNK5" s="138"/>
      <c r="GNL5" s="138"/>
      <c r="GNM5" s="138"/>
      <c r="GNN5" s="138"/>
      <c r="GNO5" s="138"/>
      <c r="GNP5" s="138"/>
      <c r="GNQ5" s="138"/>
      <c r="GNR5" s="138"/>
      <c r="GNS5" s="138"/>
      <c r="GNT5" s="138"/>
      <c r="GNU5" s="138"/>
      <c r="GNV5" s="138"/>
      <c r="GNW5" s="138"/>
      <c r="GNX5" s="138"/>
      <c r="GNY5" s="138"/>
      <c r="GNZ5" s="138"/>
      <c r="GOA5" s="138"/>
      <c r="GOB5" s="138"/>
      <c r="GOC5" s="138"/>
      <c r="GOD5" s="138"/>
      <c r="GOE5" s="138"/>
      <c r="GOF5" s="138"/>
      <c r="GOG5" s="138"/>
      <c r="GOH5" s="138"/>
      <c r="GOI5" s="138"/>
      <c r="GOJ5" s="138"/>
      <c r="GOK5" s="138"/>
      <c r="GOL5" s="138"/>
      <c r="GOM5" s="138"/>
      <c r="GON5" s="138"/>
      <c r="GOO5" s="138"/>
      <c r="GOP5" s="138"/>
      <c r="GOQ5" s="138"/>
      <c r="GOR5" s="138"/>
      <c r="GOS5" s="138"/>
      <c r="GOT5" s="138"/>
      <c r="GOU5" s="138"/>
      <c r="GOV5" s="138"/>
      <c r="GOW5" s="138"/>
      <c r="GOX5" s="138"/>
      <c r="GOY5" s="138"/>
      <c r="GOZ5" s="138"/>
      <c r="GPA5" s="138"/>
      <c r="GPB5" s="138"/>
      <c r="GPC5" s="138"/>
      <c r="GPD5" s="138"/>
      <c r="GPE5" s="138"/>
      <c r="GPF5" s="138"/>
      <c r="GPG5" s="138"/>
      <c r="GPH5" s="138"/>
      <c r="GPI5" s="138"/>
      <c r="GPJ5" s="138"/>
      <c r="GPK5" s="138"/>
      <c r="GPL5" s="138"/>
      <c r="GPM5" s="138"/>
      <c r="GPN5" s="138"/>
      <c r="GPO5" s="138"/>
      <c r="GPP5" s="138"/>
      <c r="GPQ5" s="138"/>
      <c r="GPR5" s="138"/>
      <c r="GPS5" s="138"/>
      <c r="GPT5" s="138"/>
      <c r="GPU5" s="138"/>
      <c r="GPV5" s="138"/>
      <c r="GPW5" s="138"/>
      <c r="GPX5" s="138"/>
      <c r="GPY5" s="138"/>
      <c r="GPZ5" s="138"/>
      <c r="GQA5" s="138"/>
      <c r="GQB5" s="138"/>
      <c r="GQC5" s="138"/>
      <c r="GQD5" s="138"/>
      <c r="GQE5" s="138"/>
      <c r="GQF5" s="138"/>
      <c r="GQG5" s="138"/>
      <c r="GQH5" s="138"/>
      <c r="GQI5" s="138"/>
      <c r="GQJ5" s="138"/>
      <c r="GQK5" s="138"/>
      <c r="GQL5" s="138"/>
      <c r="GQM5" s="138"/>
      <c r="GQN5" s="138"/>
      <c r="GQO5" s="138"/>
      <c r="GQP5" s="138"/>
      <c r="GQQ5" s="138"/>
      <c r="GQR5" s="138"/>
      <c r="GQS5" s="138"/>
      <c r="GQT5" s="138"/>
      <c r="GQU5" s="138"/>
      <c r="GQV5" s="138"/>
      <c r="GQW5" s="138"/>
      <c r="GQX5" s="138"/>
      <c r="GQY5" s="138"/>
      <c r="GQZ5" s="138"/>
      <c r="GRA5" s="138"/>
      <c r="GRB5" s="138"/>
      <c r="GRC5" s="138"/>
      <c r="GRD5" s="138"/>
      <c r="GRE5" s="138"/>
      <c r="GRF5" s="138"/>
      <c r="GRG5" s="138"/>
      <c r="GRH5" s="138"/>
      <c r="GRI5" s="138"/>
      <c r="GRJ5" s="138"/>
      <c r="GRK5" s="138"/>
      <c r="GRL5" s="138"/>
      <c r="GRM5" s="138"/>
      <c r="GRN5" s="138"/>
      <c r="GRO5" s="138"/>
      <c r="GRP5" s="138"/>
      <c r="GRQ5" s="138"/>
      <c r="GRR5" s="138"/>
      <c r="GRS5" s="138"/>
      <c r="GRT5" s="138"/>
      <c r="GRU5" s="138"/>
      <c r="GRV5" s="138"/>
      <c r="GRW5" s="138"/>
      <c r="GRX5" s="138"/>
      <c r="GRY5" s="138"/>
      <c r="GRZ5" s="138"/>
      <c r="GSA5" s="138"/>
      <c r="GSB5" s="138"/>
      <c r="GSC5" s="138"/>
      <c r="GSD5" s="138"/>
      <c r="GSE5" s="138"/>
      <c r="GSF5" s="138"/>
      <c r="GSG5" s="138"/>
      <c r="GSH5" s="138"/>
      <c r="GSI5" s="138"/>
      <c r="GSJ5" s="138"/>
      <c r="GSK5" s="138"/>
      <c r="GSL5" s="138"/>
      <c r="GSM5" s="138"/>
      <c r="GSN5" s="138"/>
      <c r="GSO5" s="138"/>
      <c r="GSP5" s="138"/>
      <c r="GSQ5" s="138"/>
      <c r="GSR5" s="138"/>
      <c r="GSS5" s="138"/>
      <c r="GST5" s="138"/>
      <c r="GSU5" s="138"/>
      <c r="GSV5" s="138"/>
      <c r="GSW5" s="138"/>
      <c r="GSX5" s="138"/>
      <c r="GSY5" s="138"/>
      <c r="GSZ5" s="138"/>
      <c r="GTA5" s="138"/>
      <c r="GTB5" s="138"/>
      <c r="GTC5" s="138"/>
      <c r="GTD5" s="138"/>
      <c r="GTE5" s="138"/>
      <c r="GTF5" s="138"/>
      <c r="GTG5" s="138"/>
      <c r="GTH5" s="138"/>
      <c r="GTI5" s="138"/>
      <c r="GTJ5" s="138"/>
      <c r="GTK5" s="138"/>
      <c r="GTL5" s="138"/>
      <c r="GTM5" s="138"/>
      <c r="GTN5" s="138"/>
      <c r="GTO5" s="138"/>
      <c r="GTP5" s="138"/>
      <c r="GTQ5" s="138"/>
      <c r="GTR5" s="138"/>
      <c r="GTS5" s="138"/>
      <c r="GTT5" s="138"/>
      <c r="GTU5" s="138"/>
      <c r="GTV5" s="138"/>
      <c r="GTW5" s="138"/>
      <c r="GTX5" s="138"/>
      <c r="GTY5" s="138"/>
      <c r="GTZ5" s="138"/>
      <c r="GUA5" s="138"/>
      <c r="GUB5" s="138"/>
      <c r="GUC5" s="138"/>
      <c r="GUD5" s="138"/>
      <c r="GUE5" s="138"/>
      <c r="GUF5" s="138"/>
      <c r="GUG5" s="138"/>
      <c r="GUH5" s="138"/>
      <c r="GUI5" s="138"/>
      <c r="GUJ5" s="138"/>
      <c r="GUK5" s="138"/>
      <c r="GUL5" s="138"/>
      <c r="GUM5" s="138"/>
      <c r="GUN5" s="138"/>
      <c r="GUO5" s="138"/>
      <c r="GUP5" s="138"/>
      <c r="GUQ5" s="138"/>
      <c r="GUR5" s="138"/>
      <c r="GUS5" s="138"/>
      <c r="GUT5" s="138"/>
      <c r="GUU5" s="138"/>
      <c r="GUV5" s="138"/>
      <c r="GUW5" s="138"/>
      <c r="GUX5" s="138"/>
      <c r="GUY5" s="138"/>
      <c r="GUZ5" s="138"/>
      <c r="GVA5" s="138"/>
      <c r="GVB5" s="138"/>
      <c r="GVC5" s="138"/>
      <c r="GVD5" s="138"/>
      <c r="GVE5" s="138"/>
      <c r="GVF5" s="138"/>
      <c r="GVG5" s="138"/>
      <c r="GVH5" s="138"/>
      <c r="GVI5" s="138"/>
      <c r="GVJ5" s="138"/>
      <c r="GVK5" s="138"/>
      <c r="GVL5" s="138"/>
      <c r="GVM5" s="138"/>
      <c r="GVN5" s="138"/>
      <c r="GVO5" s="138"/>
      <c r="GVP5" s="138"/>
      <c r="GVQ5" s="138"/>
      <c r="GVR5" s="138"/>
      <c r="GVS5" s="138"/>
      <c r="GVT5" s="138"/>
      <c r="GVU5" s="138"/>
      <c r="GVV5" s="138"/>
      <c r="GVW5" s="138"/>
      <c r="GVX5" s="138"/>
      <c r="GVY5" s="138"/>
      <c r="GVZ5" s="138"/>
      <c r="GWA5" s="138"/>
      <c r="GWB5" s="138"/>
      <c r="GWC5" s="138"/>
      <c r="GWD5" s="138"/>
      <c r="GWE5" s="138"/>
      <c r="GWF5" s="138"/>
      <c r="GWG5" s="138"/>
      <c r="GWH5" s="138"/>
      <c r="GWI5" s="138"/>
      <c r="GWJ5" s="138"/>
      <c r="GWK5" s="138"/>
      <c r="GWL5" s="138"/>
      <c r="GWM5" s="138"/>
      <c r="GWN5" s="138"/>
      <c r="GWO5" s="138"/>
      <c r="GWP5" s="138"/>
      <c r="GWQ5" s="138"/>
      <c r="GWR5" s="138"/>
      <c r="GWS5" s="138"/>
      <c r="GWT5" s="138"/>
      <c r="GWU5" s="138"/>
      <c r="GWV5" s="138"/>
      <c r="GWW5" s="138"/>
      <c r="GWX5" s="138"/>
      <c r="GWY5" s="138"/>
      <c r="GWZ5" s="138"/>
      <c r="GXA5" s="138"/>
      <c r="GXB5" s="138"/>
      <c r="GXC5" s="138"/>
      <c r="GXD5" s="138"/>
      <c r="GXE5" s="138"/>
      <c r="GXF5" s="138"/>
      <c r="GXG5" s="138"/>
      <c r="GXH5" s="138"/>
      <c r="GXI5" s="138"/>
      <c r="GXJ5" s="138"/>
      <c r="GXK5" s="138"/>
      <c r="GXL5" s="138"/>
      <c r="GXM5" s="138"/>
      <c r="GXN5" s="138"/>
      <c r="GXO5" s="138"/>
      <c r="GXP5" s="138"/>
      <c r="GXQ5" s="138"/>
      <c r="GXR5" s="138"/>
      <c r="GXS5" s="138"/>
      <c r="GXT5" s="138"/>
      <c r="GXU5" s="138"/>
      <c r="GXV5" s="138"/>
      <c r="GXW5" s="138"/>
      <c r="GXX5" s="138"/>
      <c r="GXY5" s="138"/>
      <c r="GXZ5" s="138"/>
      <c r="GYA5" s="138"/>
      <c r="GYB5" s="138"/>
      <c r="GYC5" s="138"/>
      <c r="GYD5" s="138"/>
      <c r="GYE5" s="138"/>
      <c r="GYF5" s="138"/>
      <c r="GYG5" s="138"/>
      <c r="GYH5" s="138"/>
      <c r="GYI5" s="138"/>
      <c r="GYJ5" s="138"/>
      <c r="GYK5" s="138"/>
      <c r="GYL5" s="138"/>
      <c r="GYM5" s="138"/>
      <c r="GYN5" s="138"/>
      <c r="GYO5" s="138"/>
      <c r="GYP5" s="138"/>
      <c r="GYQ5" s="138"/>
      <c r="GYR5" s="138"/>
      <c r="GYS5" s="138"/>
      <c r="GYT5" s="138"/>
      <c r="GYU5" s="138"/>
      <c r="GYV5" s="138"/>
      <c r="GYW5" s="138"/>
      <c r="GYX5" s="138"/>
      <c r="GYY5" s="138"/>
      <c r="GYZ5" s="138"/>
      <c r="GZA5" s="138"/>
      <c r="GZB5" s="138"/>
      <c r="GZC5" s="138"/>
      <c r="GZD5" s="138"/>
      <c r="GZE5" s="138"/>
      <c r="GZF5" s="138"/>
      <c r="GZG5" s="138"/>
      <c r="GZH5" s="138"/>
      <c r="GZI5" s="138"/>
      <c r="GZJ5" s="138"/>
      <c r="GZK5" s="138"/>
      <c r="GZL5" s="138"/>
      <c r="GZM5" s="138"/>
      <c r="GZN5" s="138"/>
      <c r="GZO5" s="138"/>
      <c r="GZP5" s="138"/>
      <c r="GZQ5" s="138"/>
      <c r="GZR5" s="138"/>
      <c r="GZS5" s="138"/>
      <c r="GZT5" s="138"/>
      <c r="GZU5" s="138"/>
      <c r="GZV5" s="138"/>
      <c r="GZW5" s="138"/>
      <c r="GZX5" s="138"/>
      <c r="GZY5" s="138"/>
      <c r="GZZ5" s="138"/>
      <c r="HAA5" s="138"/>
      <c r="HAB5" s="138"/>
      <c r="HAC5" s="138"/>
      <c r="HAD5" s="138"/>
      <c r="HAE5" s="138"/>
      <c r="HAF5" s="138"/>
      <c r="HAG5" s="138"/>
      <c r="HAH5" s="138"/>
      <c r="HAI5" s="138"/>
      <c r="HAJ5" s="138"/>
      <c r="HAK5" s="138"/>
      <c r="HAL5" s="138"/>
      <c r="HAM5" s="138"/>
      <c r="HAN5" s="138"/>
      <c r="HAO5" s="138"/>
      <c r="HAP5" s="138"/>
      <c r="HAQ5" s="138"/>
      <c r="HAR5" s="138"/>
      <c r="HAS5" s="138"/>
      <c r="HAT5" s="138"/>
      <c r="HAU5" s="138"/>
      <c r="HAV5" s="138"/>
      <c r="HAW5" s="138"/>
      <c r="HAX5" s="138"/>
      <c r="HAY5" s="138"/>
      <c r="HAZ5" s="138"/>
      <c r="HBA5" s="138"/>
      <c r="HBB5" s="138"/>
      <c r="HBC5" s="138"/>
      <c r="HBD5" s="138"/>
      <c r="HBE5" s="138"/>
      <c r="HBF5" s="138"/>
      <c r="HBG5" s="138"/>
      <c r="HBH5" s="138"/>
      <c r="HBI5" s="138"/>
      <c r="HBJ5" s="138"/>
      <c r="HBK5" s="138"/>
      <c r="HBL5" s="138"/>
      <c r="HBM5" s="138"/>
      <c r="HBN5" s="138"/>
      <c r="HBO5" s="138"/>
      <c r="HBP5" s="138"/>
      <c r="HBQ5" s="138"/>
      <c r="HBR5" s="138"/>
      <c r="HBS5" s="138"/>
      <c r="HBT5" s="138"/>
      <c r="HBU5" s="138"/>
      <c r="HBV5" s="138"/>
      <c r="HBW5" s="138"/>
      <c r="HBX5" s="138"/>
      <c r="HBY5" s="138"/>
      <c r="HBZ5" s="138"/>
      <c r="HCA5" s="138"/>
      <c r="HCB5" s="138"/>
      <c r="HCC5" s="138"/>
      <c r="HCD5" s="138"/>
      <c r="HCE5" s="138"/>
      <c r="HCF5" s="138"/>
      <c r="HCG5" s="138"/>
      <c r="HCH5" s="138"/>
      <c r="HCI5" s="138"/>
      <c r="HCJ5" s="138"/>
      <c r="HCK5" s="138"/>
      <c r="HCL5" s="138"/>
      <c r="HCM5" s="138"/>
      <c r="HCN5" s="138"/>
      <c r="HCO5" s="138"/>
      <c r="HCP5" s="138"/>
      <c r="HCQ5" s="138"/>
      <c r="HCR5" s="138"/>
      <c r="HCS5" s="138"/>
      <c r="HCT5" s="138"/>
      <c r="HCU5" s="138"/>
      <c r="HCV5" s="138"/>
      <c r="HCW5" s="138"/>
      <c r="HCX5" s="138"/>
      <c r="HCY5" s="138"/>
      <c r="HCZ5" s="138"/>
      <c r="HDA5" s="138"/>
      <c r="HDB5" s="138"/>
      <c r="HDC5" s="138"/>
      <c r="HDD5" s="138"/>
      <c r="HDE5" s="138"/>
      <c r="HDF5" s="138"/>
      <c r="HDG5" s="138"/>
      <c r="HDH5" s="138"/>
      <c r="HDI5" s="138"/>
      <c r="HDJ5" s="138"/>
      <c r="HDK5" s="138"/>
      <c r="HDL5" s="138"/>
      <c r="HDM5" s="138"/>
      <c r="HDN5" s="138"/>
      <c r="HDO5" s="138"/>
      <c r="HDP5" s="138"/>
      <c r="HDQ5" s="138"/>
      <c r="HDR5" s="138"/>
      <c r="HDS5" s="138"/>
      <c r="HDT5" s="138"/>
      <c r="HDU5" s="138"/>
      <c r="HDV5" s="138"/>
      <c r="HDW5" s="138"/>
      <c r="HDX5" s="138"/>
      <c r="HDY5" s="138"/>
      <c r="HDZ5" s="138"/>
      <c r="HEA5" s="138"/>
      <c r="HEB5" s="138"/>
      <c r="HEC5" s="138"/>
      <c r="HED5" s="138"/>
      <c r="HEE5" s="138"/>
      <c r="HEF5" s="138"/>
      <c r="HEG5" s="138"/>
      <c r="HEH5" s="138"/>
      <c r="HEI5" s="138"/>
      <c r="HEJ5" s="138"/>
      <c r="HEK5" s="138"/>
      <c r="HEL5" s="138"/>
      <c r="HEM5" s="138"/>
      <c r="HEN5" s="138"/>
      <c r="HEO5" s="138"/>
      <c r="HEP5" s="138"/>
      <c r="HEQ5" s="138"/>
      <c r="HER5" s="138"/>
      <c r="HES5" s="138"/>
      <c r="HET5" s="138"/>
      <c r="HEU5" s="138"/>
      <c r="HEV5" s="138"/>
      <c r="HEW5" s="138"/>
      <c r="HEX5" s="138"/>
      <c r="HEY5" s="138"/>
      <c r="HEZ5" s="138"/>
      <c r="HFA5" s="138"/>
      <c r="HFB5" s="138"/>
      <c r="HFC5" s="138"/>
      <c r="HFD5" s="138"/>
      <c r="HFE5" s="138"/>
      <c r="HFF5" s="138"/>
      <c r="HFG5" s="138"/>
      <c r="HFH5" s="138"/>
      <c r="HFI5" s="138"/>
      <c r="HFJ5" s="138"/>
      <c r="HFK5" s="138"/>
      <c r="HFL5" s="138"/>
      <c r="HFM5" s="138"/>
      <c r="HFN5" s="138"/>
      <c r="HFO5" s="138"/>
      <c r="HFP5" s="138"/>
      <c r="HFQ5" s="138"/>
      <c r="HFR5" s="138"/>
      <c r="HFS5" s="138"/>
      <c r="HFT5" s="138"/>
      <c r="HFU5" s="138"/>
      <c r="HFV5" s="138"/>
      <c r="HFW5" s="138"/>
      <c r="HFX5" s="138"/>
      <c r="HFY5" s="138"/>
      <c r="HFZ5" s="138"/>
      <c r="HGA5" s="138"/>
      <c r="HGB5" s="138"/>
      <c r="HGC5" s="138"/>
      <c r="HGD5" s="138"/>
      <c r="HGE5" s="138"/>
      <c r="HGF5" s="138"/>
      <c r="HGG5" s="138"/>
      <c r="HGH5" s="138"/>
      <c r="HGI5" s="138"/>
      <c r="HGJ5" s="138"/>
      <c r="HGK5" s="138"/>
      <c r="HGL5" s="138"/>
      <c r="HGM5" s="138"/>
      <c r="HGN5" s="138"/>
      <c r="HGO5" s="138"/>
      <c r="HGP5" s="138"/>
      <c r="HGQ5" s="138"/>
      <c r="HGR5" s="138"/>
      <c r="HGS5" s="138"/>
      <c r="HGT5" s="138"/>
      <c r="HGU5" s="138"/>
      <c r="HGV5" s="138"/>
      <c r="HGW5" s="138"/>
      <c r="HGX5" s="138"/>
      <c r="HGY5" s="138"/>
      <c r="HGZ5" s="138"/>
      <c r="HHA5" s="138"/>
      <c r="HHB5" s="138"/>
      <c r="HHC5" s="138"/>
      <c r="HHD5" s="138"/>
      <c r="HHE5" s="138"/>
      <c r="HHF5" s="138"/>
      <c r="HHG5" s="138"/>
      <c r="HHH5" s="138"/>
      <c r="HHI5" s="138"/>
      <c r="HHJ5" s="138"/>
      <c r="HHK5" s="138"/>
      <c r="HHL5" s="138"/>
      <c r="HHM5" s="138"/>
      <c r="HHN5" s="138"/>
      <c r="HHO5" s="138"/>
      <c r="HHP5" s="138"/>
      <c r="HHQ5" s="138"/>
      <c r="HHR5" s="138"/>
      <c r="HHS5" s="138"/>
      <c r="HHT5" s="138"/>
      <c r="HHU5" s="138"/>
      <c r="HHV5" s="138"/>
      <c r="HHW5" s="138"/>
      <c r="HHX5" s="138"/>
      <c r="HHY5" s="138"/>
      <c r="HHZ5" s="138"/>
      <c r="HIA5" s="138"/>
      <c r="HIB5" s="138"/>
      <c r="HIC5" s="138"/>
      <c r="HID5" s="138"/>
      <c r="HIE5" s="138"/>
      <c r="HIF5" s="138"/>
      <c r="HIG5" s="138"/>
      <c r="HIH5" s="138"/>
      <c r="HII5" s="138"/>
      <c r="HIJ5" s="138"/>
      <c r="HIK5" s="138"/>
      <c r="HIL5" s="138"/>
      <c r="HIM5" s="138"/>
      <c r="HIN5" s="138"/>
      <c r="HIO5" s="138"/>
      <c r="HIP5" s="138"/>
      <c r="HIQ5" s="138"/>
      <c r="HIR5" s="138"/>
      <c r="HIS5" s="138"/>
      <c r="HIT5" s="138"/>
      <c r="HIU5" s="138"/>
      <c r="HIV5" s="138"/>
      <c r="HIW5" s="138"/>
      <c r="HIX5" s="138"/>
      <c r="HIY5" s="138"/>
      <c r="HIZ5" s="138"/>
      <c r="HJA5" s="138"/>
      <c r="HJB5" s="138"/>
      <c r="HJC5" s="138"/>
      <c r="HJD5" s="138"/>
      <c r="HJE5" s="138"/>
      <c r="HJF5" s="138"/>
      <c r="HJG5" s="138"/>
      <c r="HJH5" s="138"/>
      <c r="HJI5" s="138"/>
      <c r="HJJ5" s="138"/>
      <c r="HJK5" s="138"/>
      <c r="HJL5" s="138"/>
      <c r="HJM5" s="138"/>
      <c r="HJN5" s="138"/>
      <c r="HJO5" s="138"/>
      <c r="HJP5" s="138"/>
      <c r="HJQ5" s="138"/>
      <c r="HJR5" s="138"/>
      <c r="HJS5" s="138"/>
      <c r="HJT5" s="138"/>
      <c r="HJU5" s="138"/>
      <c r="HJV5" s="138"/>
      <c r="HJW5" s="138"/>
      <c r="HJX5" s="138"/>
      <c r="HJY5" s="138"/>
      <c r="HJZ5" s="138"/>
      <c r="HKA5" s="138"/>
      <c r="HKB5" s="138"/>
      <c r="HKC5" s="138"/>
      <c r="HKD5" s="138"/>
      <c r="HKE5" s="138"/>
      <c r="HKF5" s="138"/>
      <c r="HKG5" s="138"/>
      <c r="HKH5" s="138"/>
      <c r="HKI5" s="138"/>
      <c r="HKJ5" s="138"/>
      <c r="HKK5" s="138"/>
      <c r="HKL5" s="138"/>
      <c r="HKM5" s="138"/>
      <c r="HKN5" s="138"/>
      <c r="HKO5" s="138"/>
      <c r="HKP5" s="138"/>
      <c r="HKQ5" s="138"/>
      <c r="HKR5" s="138"/>
      <c r="HKS5" s="138"/>
      <c r="HKT5" s="138"/>
      <c r="HKU5" s="138"/>
      <c r="HKV5" s="138"/>
      <c r="HKW5" s="138"/>
      <c r="HKX5" s="138"/>
      <c r="HKY5" s="138"/>
      <c r="HKZ5" s="138"/>
      <c r="HLA5" s="138"/>
      <c r="HLB5" s="138"/>
      <c r="HLC5" s="138"/>
      <c r="HLD5" s="138"/>
      <c r="HLE5" s="138"/>
      <c r="HLF5" s="138"/>
      <c r="HLG5" s="138"/>
      <c r="HLH5" s="138"/>
      <c r="HLI5" s="138"/>
      <c r="HLJ5" s="138"/>
      <c r="HLK5" s="138"/>
      <c r="HLL5" s="138"/>
      <c r="HLM5" s="138"/>
      <c r="HLN5" s="138"/>
      <c r="HLO5" s="138"/>
      <c r="HLP5" s="138"/>
      <c r="HLQ5" s="138"/>
      <c r="HLR5" s="138"/>
      <c r="HLS5" s="138"/>
      <c r="HLT5" s="138"/>
      <c r="HLU5" s="138"/>
      <c r="HLV5" s="138"/>
      <c r="HLW5" s="138"/>
      <c r="HLX5" s="138"/>
      <c r="HLY5" s="138"/>
      <c r="HLZ5" s="138"/>
      <c r="HMA5" s="138"/>
      <c r="HMB5" s="138"/>
      <c r="HMC5" s="138"/>
      <c r="HMD5" s="138"/>
      <c r="HME5" s="138"/>
      <c r="HMF5" s="138"/>
      <c r="HMG5" s="138"/>
      <c r="HMH5" s="138"/>
      <c r="HMI5" s="138"/>
      <c r="HMJ5" s="138"/>
      <c r="HMK5" s="138"/>
      <c r="HML5" s="138"/>
      <c r="HMM5" s="138"/>
      <c r="HMN5" s="138"/>
      <c r="HMO5" s="138"/>
      <c r="HMP5" s="138"/>
      <c r="HMQ5" s="138"/>
      <c r="HMR5" s="138"/>
      <c r="HMS5" s="138"/>
      <c r="HMT5" s="138"/>
      <c r="HMU5" s="138"/>
      <c r="HMV5" s="138"/>
      <c r="HMW5" s="138"/>
      <c r="HMX5" s="138"/>
      <c r="HMY5" s="138"/>
      <c r="HMZ5" s="138"/>
      <c r="HNA5" s="138"/>
      <c r="HNB5" s="138"/>
      <c r="HNC5" s="138"/>
      <c r="HND5" s="138"/>
      <c r="HNE5" s="138"/>
      <c r="HNF5" s="138"/>
      <c r="HNG5" s="138"/>
      <c r="HNH5" s="138"/>
      <c r="HNI5" s="138"/>
      <c r="HNJ5" s="138"/>
      <c r="HNK5" s="138"/>
      <c r="HNL5" s="138"/>
      <c r="HNM5" s="138"/>
      <c r="HNN5" s="138"/>
      <c r="HNO5" s="138"/>
      <c r="HNP5" s="138"/>
      <c r="HNQ5" s="138"/>
      <c r="HNR5" s="138"/>
      <c r="HNS5" s="138"/>
      <c r="HNT5" s="138"/>
      <c r="HNU5" s="138"/>
      <c r="HNV5" s="138"/>
      <c r="HNW5" s="138"/>
      <c r="HNX5" s="138"/>
      <c r="HNY5" s="138"/>
      <c r="HNZ5" s="138"/>
      <c r="HOA5" s="138"/>
      <c r="HOB5" s="138"/>
      <c r="HOC5" s="138"/>
      <c r="HOD5" s="138"/>
      <c r="HOE5" s="138"/>
      <c r="HOF5" s="138"/>
      <c r="HOG5" s="138"/>
      <c r="HOH5" s="138"/>
      <c r="HOI5" s="138"/>
      <c r="HOJ5" s="138"/>
      <c r="HOK5" s="138"/>
      <c r="HOL5" s="138"/>
      <c r="HOM5" s="138"/>
      <c r="HON5" s="138"/>
      <c r="HOO5" s="138"/>
      <c r="HOP5" s="138"/>
      <c r="HOQ5" s="138"/>
      <c r="HOR5" s="138"/>
      <c r="HOS5" s="138"/>
      <c r="HOT5" s="138"/>
      <c r="HOU5" s="138"/>
      <c r="HOV5" s="138"/>
      <c r="HOW5" s="138"/>
      <c r="HOX5" s="138"/>
      <c r="HOY5" s="138"/>
      <c r="HOZ5" s="138"/>
      <c r="HPA5" s="138"/>
      <c r="HPB5" s="138"/>
      <c r="HPC5" s="138"/>
      <c r="HPD5" s="138"/>
      <c r="HPE5" s="138"/>
      <c r="HPF5" s="138"/>
      <c r="HPG5" s="138"/>
      <c r="HPH5" s="138"/>
      <c r="HPI5" s="138"/>
      <c r="HPJ5" s="138"/>
      <c r="HPK5" s="138"/>
      <c r="HPL5" s="138"/>
      <c r="HPM5" s="138"/>
      <c r="HPN5" s="138"/>
      <c r="HPO5" s="138"/>
      <c r="HPP5" s="138"/>
      <c r="HPQ5" s="138"/>
      <c r="HPR5" s="138"/>
      <c r="HPS5" s="138"/>
      <c r="HPT5" s="138"/>
      <c r="HPU5" s="138"/>
      <c r="HPV5" s="138"/>
      <c r="HPW5" s="138"/>
      <c r="HPX5" s="138"/>
      <c r="HPY5" s="138"/>
      <c r="HPZ5" s="138"/>
      <c r="HQA5" s="138"/>
      <c r="HQB5" s="138"/>
      <c r="HQC5" s="138"/>
      <c r="HQD5" s="138"/>
      <c r="HQE5" s="138"/>
      <c r="HQF5" s="138"/>
      <c r="HQG5" s="138"/>
      <c r="HQH5" s="138"/>
      <c r="HQI5" s="138"/>
      <c r="HQJ5" s="138"/>
      <c r="HQK5" s="138"/>
      <c r="HQL5" s="138"/>
      <c r="HQM5" s="138"/>
      <c r="HQN5" s="138"/>
      <c r="HQO5" s="138"/>
      <c r="HQP5" s="138"/>
      <c r="HQQ5" s="138"/>
      <c r="HQR5" s="138"/>
      <c r="HQS5" s="138"/>
      <c r="HQT5" s="138"/>
      <c r="HQU5" s="138"/>
      <c r="HQV5" s="138"/>
      <c r="HQW5" s="138"/>
      <c r="HQX5" s="138"/>
      <c r="HQY5" s="138"/>
      <c r="HQZ5" s="138"/>
      <c r="HRA5" s="138"/>
      <c r="HRB5" s="138"/>
      <c r="HRC5" s="138"/>
      <c r="HRD5" s="138"/>
      <c r="HRE5" s="138"/>
      <c r="HRF5" s="138"/>
      <c r="HRG5" s="138"/>
      <c r="HRH5" s="138"/>
      <c r="HRI5" s="138"/>
      <c r="HRJ5" s="138"/>
      <c r="HRK5" s="138"/>
      <c r="HRL5" s="138"/>
      <c r="HRM5" s="138"/>
      <c r="HRN5" s="138"/>
      <c r="HRO5" s="138"/>
      <c r="HRP5" s="138"/>
      <c r="HRQ5" s="138"/>
      <c r="HRR5" s="138"/>
      <c r="HRS5" s="138"/>
      <c r="HRT5" s="138"/>
      <c r="HRU5" s="138"/>
      <c r="HRV5" s="138"/>
      <c r="HRW5" s="138"/>
      <c r="HRX5" s="138"/>
      <c r="HRY5" s="138"/>
      <c r="HRZ5" s="138"/>
      <c r="HSA5" s="138"/>
      <c r="HSB5" s="138"/>
      <c r="HSC5" s="138"/>
      <c r="HSD5" s="138"/>
      <c r="HSE5" s="138"/>
      <c r="HSF5" s="138"/>
      <c r="HSG5" s="138"/>
      <c r="HSH5" s="138"/>
      <c r="HSI5" s="138"/>
      <c r="HSJ5" s="138"/>
      <c r="HSK5" s="138"/>
      <c r="HSL5" s="138"/>
      <c r="HSM5" s="138"/>
      <c r="HSN5" s="138"/>
      <c r="HSO5" s="138"/>
      <c r="HSP5" s="138"/>
      <c r="HSQ5" s="138"/>
      <c r="HSR5" s="138"/>
      <c r="HSS5" s="138"/>
      <c r="HST5" s="138"/>
      <c r="HSU5" s="138"/>
      <c r="HSV5" s="138"/>
      <c r="HSW5" s="138"/>
      <c r="HSX5" s="138"/>
      <c r="HSY5" s="138"/>
      <c r="HSZ5" s="138"/>
      <c r="HTA5" s="138"/>
      <c r="HTB5" s="138"/>
      <c r="HTC5" s="138"/>
      <c r="HTD5" s="138"/>
      <c r="HTE5" s="138"/>
      <c r="HTF5" s="138"/>
      <c r="HTG5" s="138"/>
      <c r="HTH5" s="138"/>
      <c r="HTI5" s="138"/>
      <c r="HTJ5" s="138"/>
      <c r="HTK5" s="138"/>
      <c r="HTL5" s="138"/>
      <c r="HTM5" s="138"/>
      <c r="HTN5" s="138"/>
      <c r="HTO5" s="138"/>
      <c r="HTP5" s="138"/>
      <c r="HTQ5" s="138"/>
      <c r="HTR5" s="138"/>
      <c r="HTS5" s="138"/>
      <c r="HTT5" s="138"/>
      <c r="HTU5" s="138"/>
      <c r="HTV5" s="138"/>
      <c r="HTW5" s="138"/>
      <c r="HTX5" s="138"/>
      <c r="HTY5" s="138"/>
      <c r="HTZ5" s="138"/>
      <c r="HUA5" s="138"/>
      <c r="HUB5" s="138"/>
      <c r="HUC5" s="138"/>
      <c r="HUD5" s="138"/>
      <c r="HUE5" s="138"/>
      <c r="HUF5" s="138"/>
      <c r="HUG5" s="138"/>
      <c r="HUH5" s="138"/>
      <c r="HUI5" s="138"/>
      <c r="HUJ5" s="138"/>
      <c r="HUK5" s="138"/>
      <c r="HUL5" s="138"/>
      <c r="HUM5" s="138"/>
      <c r="HUN5" s="138"/>
      <c r="HUO5" s="138"/>
      <c r="HUP5" s="138"/>
      <c r="HUQ5" s="138"/>
      <c r="HUR5" s="138"/>
      <c r="HUS5" s="138"/>
      <c r="HUT5" s="138"/>
      <c r="HUU5" s="138"/>
      <c r="HUV5" s="138"/>
      <c r="HUW5" s="138"/>
      <c r="HUX5" s="138"/>
      <c r="HUY5" s="138"/>
      <c r="HUZ5" s="138"/>
      <c r="HVA5" s="138"/>
      <c r="HVB5" s="138"/>
      <c r="HVC5" s="138"/>
      <c r="HVD5" s="138"/>
      <c r="HVE5" s="138"/>
      <c r="HVF5" s="138"/>
      <c r="HVG5" s="138"/>
      <c r="HVH5" s="138"/>
      <c r="HVI5" s="138"/>
      <c r="HVJ5" s="138"/>
      <c r="HVK5" s="138"/>
      <c r="HVL5" s="138"/>
      <c r="HVM5" s="138"/>
      <c r="HVN5" s="138"/>
      <c r="HVO5" s="138"/>
      <c r="HVP5" s="138"/>
      <c r="HVQ5" s="138"/>
      <c r="HVR5" s="138"/>
      <c r="HVS5" s="138"/>
      <c r="HVT5" s="138"/>
      <c r="HVU5" s="138"/>
      <c r="HVV5" s="138"/>
      <c r="HVW5" s="138"/>
      <c r="HVX5" s="138"/>
      <c r="HVY5" s="138"/>
      <c r="HVZ5" s="138"/>
      <c r="HWA5" s="138"/>
      <c r="HWB5" s="138"/>
      <c r="HWC5" s="138"/>
      <c r="HWD5" s="138"/>
      <c r="HWE5" s="138"/>
      <c r="HWF5" s="138"/>
      <c r="HWG5" s="138"/>
      <c r="HWH5" s="138"/>
      <c r="HWI5" s="138"/>
      <c r="HWJ5" s="138"/>
      <c r="HWK5" s="138"/>
      <c r="HWL5" s="138"/>
      <c r="HWM5" s="138"/>
      <c r="HWN5" s="138"/>
      <c r="HWO5" s="138"/>
      <c r="HWP5" s="138"/>
      <c r="HWQ5" s="138"/>
      <c r="HWR5" s="138"/>
      <c r="HWS5" s="138"/>
      <c r="HWT5" s="138"/>
      <c r="HWU5" s="138"/>
      <c r="HWV5" s="138"/>
      <c r="HWW5" s="138"/>
      <c r="HWX5" s="138"/>
      <c r="HWY5" s="138"/>
      <c r="HWZ5" s="138"/>
      <c r="HXA5" s="138"/>
      <c r="HXB5" s="138"/>
      <c r="HXC5" s="138"/>
      <c r="HXD5" s="138"/>
      <c r="HXE5" s="138"/>
      <c r="HXF5" s="138"/>
      <c r="HXG5" s="138"/>
      <c r="HXH5" s="138"/>
      <c r="HXI5" s="138"/>
      <c r="HXJ5" s="138"/>
      <c r="HXK5" s="138"/>
      <c r="HXL5" s="138"/>
      <c r="HXM5" s="138"/>
      <c r="HXN5" s="138"/>
      <c r="HXO5" s="138"/>
      <c r="HXP5" s="138"/>
      <c r="HXQ5" s="138"/>
      <c r="HXR5" s="138"/>
      <c r="HXS5" s="138"/>
      <c r="HXT5" s="138"/>
      <c r="HXU5" s="138"/>
      <c r="HXV5" s="138"/>
      <c r="HXW5" s="138"/>
      <c r="HXX5" s="138"/>
      <c r="HXY5" s="138"/>
      <c r="HXZ5" s="138"/>
      <c r="HYA5" s="138"/>
      <c r="HYB5" s="138"/>
      <c r="HYC5" s="138"/>
      <c r="HYD5" s="138"/>
      <c r="HYE5" s="138"/>
      <c r="HYF5" s="138"/>
      <c r="HYG5" s="138"/>
      <c r="HYH5" s="138"/>
      <c r="HYI5" s="138"/>
      <c r="HYJ5" s="138"/>
      <c r="HYK5" s="138"/>
      <c r="HYL5" s="138"/>
      <c r="HYM5" s="138"/>
      <c r="HYN5" s="138"/>
      <c r="HYO5" s="138"/>
      <c r="HYP5" s="138"/>
      <c r="HYQ5" s="138"/>
      <c r="HYR5" s="138"/>
      <c r="HYS5" s="138"/>
      <c r="HYT5" s="138"/>
      <c r="HYU5" s="138"/>
      <c r="HYV5" s="138"/>
      <c r="HYW5" s="138"/>
      <c r="HYX5" s="138"/>
      <c r="HYY5" s="138"/>
      <c r="HYZ5" s="138"/>
      <c r="HZA5" s="138"/>
      <c r="HZB5" s="138"/>
      <c r="HZC5" s="138"/>
      <c r="HZD5" s="138"/>
      <c r="HZE5" s="138"/>
      <c r="HZF5" s="138"/>
      <c r="HZG5" s="138"/>
      <c r="HZH5" s="138"/>
      <c r="HZI5" s="138"/>
      <c r="HZJ5" s="138"/>
      <c r="HZK5" s="138"/>
      <c r="HZL5" s="138"/>
      <c r="HZM5" s="138"/>
      <c r="HZN5" s="138"/>
      <c r="HZO5" s="138"/>
      <c r="HZP5" s="138"/>
      <c r="HZQ5" s="138"/>
      <c r="HZR5" s="138"/>
      <c r="HZS5" s="138"/>
      <c r="HZT5" s="138"/>
      <c r="HZU5" s="138"/>
      <c r="HZV5" s="138"/>
      <c r="HZW5" s="138"/>
      <c r="HZX5" s="138"/>
      <c r="HZY5" s="138"/>
      <c r="HZZ5" s="138"/>
      <c r="IAA5" s="138"/>
      <c r="IAB5" s="138"/>
      <c r="IAC5" s="138"/>
      <c r="IAD5" s="138"/>
      <c r="IAE5" s="138"/>
      <c r="IAF5" s="138"/>
      <c r="IAG5" s="138"/>
      <c r="IAH5" s="138"/>
      <c r="IAI5" s="138"/>
      <c r="IAJ5" s="138"/>
      <c r="IAK5" s="138"/>
      <c r="IAL5" s="138"/>
      <c r="IAM5" s="138"/>
      <c r="IAN5" s="138"/>
      <c r="IAO5" s="138"/>
      <c r="IAP5" s="138"/>
      <c r="IAQ5" s="138"/>
      <c r="IAR5" s="138"/>
      <c r="IAS5" s="138"/>
      <c r="IAT5" s="138"/>
      <c r="IAU5" s="138"/>
      <c r="IAV5" s="138"/>
      <c r="IAW5" s="138"/>
      <c r="IAX5" s="138"/>
      <c r="IAY5" s="138"/>
      <c r="IAZ5" s="138"/>
      <c r="IBA5" s="138"/>
      <c r="IBB5" s="138"/>
      <c r="IBC5" s="138"/>
      <c r="IBD5" s="138"/>
      <c r="IBE5" s="138"/>
      <c r="IBF5" s="138"/>
      <c r="IBG5" s="138"/>
      <c r="IBH5" s="138"/>
      <c r="IBI5" s="138"/>
      <c r="IBJ5" s="138"/>
      <c r="IBK5" s="138"/>
      <c r="IBL5" s="138"/>
      <c r="IBM5" s="138"/>
      <c r="IBN5" s="138"/>
      <c r="IBO5" s="138"/>
      <c r="IBP5" s="138"/>
      <c r="IBQ5" s="138"/>
      <c r="IBR5" s="138"/>
      <c r="IBS5" s="138"/>
      <c r="IBT5" s="138"/>
      <c r="IBU5" s="138"/>
      <c r="IBV5" s="138"/>
      <c r="IBW5" s="138"/>
      <c r="IBX5" s="138"/>
      <c r="IBY5" s="138"/>
      <c r="IBZ5" s="138"/>
      <c r="ICA5" s="138"/>
      <c r="ICB5" s="138"/>
      <c r="ICC5" s="138"/>
      <c r="ICD5" s="138"/>
      <c r="ICE5" s="138"/>
      <c r="ICF5" s="138"/>
      <c r="ICG5" s="138"/>
      <c r="ICH5" s="138"/>
      <c r="ICI5" s="138"/>
      <c r="ICJ5" s="138"/>
      <c r="ICK5" s="138"/>
      <c r="ICL5" s="138"/>
      <c r="ICM5" s="138"/>
      <c r="ICN5" s="138"/>
      <c r="ICO5" s="138"/>
      <c r="ICP5" s="138"/>
      <c r="ICQ5" s="138"/>
      <c r="ICR5" s="138"/>
      <c r="ICS5" s="138"/>
      <c r="ICT5" s="138"/>
      <c r="ICU5" s="138"/>
      <c r="ICV5" s="138"/>
      <c r="ICW5" s="138"/>
      <c r="ICX5" s="138"/>
      <c r="ICY5" s="138"/>
      <c r="ICZ5" s="138"/>
      <c r="IDA5" s="138"/>
      <c r="IDB5" s="138"/>
      <c r="IDC5" s="138"/>
      <c r="IDD5" s="138"/>
      <c r="IDE5" s="138"/>
      <c r="IDF5" s="138"/>
      <c r="IDG5" s="138"/>
      <c r="IDH5" s="138"/>
      <c r="IDI5" s="138"/>
      <c r="IDJ5" s="138"/>
      <c r="IDK5" s="138"/>
      <c r="IDL5" s="138"/>
      <c r="IDM5" s="138"/>
      <c r="IDN5" s="138"/>
      <c r="IDO5" s="138"/>
      <c r="IDP5" s="138"/>
      <c r="IDQ5" s="138"/>
      <c r="IDR5" s="138"/>
      <c r="IDS5" s="138"/>
      <c r="IDT5" s="138"/>
      <c r="IDU5" s="138"/>
      <c r="IDV5" s="138"/>
      <c r="IDW5" s="138"/>
      <c r="IDX5" s="138"/>
      <c r="IDY5" s="138"/>
      <c r="IDZ5" s="138"/>
      <c r="IEA5" s="138"/>
      <c r="IEB5" s="138"/>
      <c r="IEC5" s="138"/>
      <c r="IED5" s="138"/>
      <c r="IEE5" s="138"/>
      <c r="IEF5" s="138"/>
      <c r="IEG5" s="138"/>
      <c r="IEH5" s="138"/>
      <c r="IEI5" s="138"/>
      <c r="IEJ5" s="138"/>
      <c r="IEK5" s="138"/>
      <c r="IEL5" s="138"/>
      <c r="IEM5" s="138"/>
      <c r="IEN5" s="138"/>
      <c r="IEO5" s="138"/>
      <c r="IEP5" s="138"/>
      <c r="IEQ5" s="138"/>
      <c r="IER5" s="138"/>
      <c r="IES5" s="138"/>
      <c r="IET5" s="138"/>
      <c r="IEU5" s="138"/>
      <c r="IEV5" s="138"/>
      <c r="IEW5" s="138"/>
      <c r="IEX5" s="138"/>
      <c r="IEY5" s="138"/>
      <c r="IEZ5" s="138"/>
      <c r="IFA5" s="138"/>
      <c r="IFB5" s="138"/>
      <c r="IFC5" s="138"/>
      <c r="IFD5" s="138"/>
      <c r="IFE5" s="138"/>
      <c r="IFF5" s="138"/>
      <c r="IFG5" s="138"/>
      <c r="IFH5" s="138"/>
      <c r="IFI5" s="138"/>
      <c r="IFJ5" s="138"/>
      <c r="IFK5" s="138"/>
      <c r="IFL5" s="138"/>
      <c r="IFM5" s="138"/>
      <c r="IFN5" s="138"/>
      <c r="IFO5" s="138"/>
      <c r="IFP5" s="138"/>
      <c r="IFQ5" s="138"/>
      <c r="IFR5" s="138"/>
      <c r="IFS5" s="138"/>
      <c r="IFT5" s="138"/>
      <c r="IFU5" s="138"/>
      <c r="IFV5" s="138"/>
      <c r="IFW5" s="138"/>
      <c r="IFX5" s="138"/>
      <c r="IFY5" s="138"/>
      <c r="IFZ5" s="138"/>
      <c r="IGA5" s="138"/>
      <c r="IGB5" s="138"/>
      <c r="IGC5" s="138"/>
      <c r="IGD5" s="138"/>
      <c r="IGE5" s="138"/>
      <c r="IGF5" s="138"/>
      <c r="IGG5" s="138"/>
      <c r="IGH5" s="138"/>
      <c r="IGI5" s="138"/>
      <c r="IGJ5" s="138"/>
      <c r="IGK5" s="138"/>
      <c r="IGL5" s="138"/>
      <c r="IGM5" s="138"/>
      <c r="IGN5" s="138"/>
      <c r="IGO5" s="138"/>
      <c r="IGP5" s="138"/>
      <c r="IGQ5" s="138"/>
      <c r="IGR5" s="138"/>
      <c r="IGS5" s="138"/>
      <c r="IGT5" s="138"/>
      <c r="IGU5" s="138"/>
      <c r="IGV5" s="138"/>
      <c r="IGW5" s="138"/>
      <c r="IGX5" s="138"/>
      <c r="IGY5" s="138"/>
      <c r="IGZ5" s="138"/>
      <c r="IHA5" s="138"/>
      <c r="IHB5" s="138"/>
      <c r="IHC5" s="138"/>
      <c r="IHD5" s="138"/>
      <c r="IHE5" s="138"/>
      <c r="IHF5" s="138"/>
      <c r="IHG5" s="138"/>
      <c r="IHH5" s="138"/>
      <c r="IHI5" s="138"/>
      <c r="IHJ5" s="138"/>
      <c r="IHK5" s="138"/>
      <c r="IHL5" s="138"/>
      <c r="IHM5" s="138"/>
      <c r="IHN5" s="138"/>
      <c r="IHO5" s="138"/>
      <c r="IHP5" s="138"/>
      <c r="IHQ5" s="138"/>
      <c r="IHR5" s="138"/>
      <c r="IHS5" s="138"/>
      <c r="IHT5" s="138"/>
      <c r="IHU5" s="138"/>
      <c r="IHV5" s="138"/>
      <c r="IHW5" s="138"/>
      <c r="IHX5" s="138"/>
      <c r="IHY5" s="138"/>
      <c r="IHZ5" s="138"/>
      <c r="IIA5" s="138"/>
      <c r="IIB5" s="138"/>
      <c r="IIC5" s="138"/>
      <c r="IID5" s="138"/>
      <c r="IIE5" s="138"/>
      <c r="IIF5" s="138"/>
      <c r="IIG5" s="138"/>
      <c r="IIH5" s="138"/>
      <c r="III5" s="138"/>
      <c r="IIJ5" s="138"/>
      <c r="IIK5" s="138"/>
      <c r="IIL5" s="138"/>
      <c r="IIM5" s="138"/>
      <c r="IIN5" s="138"/>
      <c r="IIO5" s="138"/>
      <c r="IIP5" s="138"/>
      <c r="IIQ5" s="138"/>
      <c r="IIR5" s="138"/>
      <c r="IIS5" s="138"/>
      <c r="IIT5" s="138"/>
      <c r="IIU5" s="138"/>
      <c r="IIV5" s="138"/>
      <c r="IIW5" s="138"/>
      <c r="IIX5" s="138"/>
      <c r="IIY5" s="138"/>
      <c r="IIZ5" s="138"/>
      <c r="IJA5" s="138"/>
      <c r="IJB5" s="138"/>
      <c r="IJC5" s="138"/>
      <c r="IJD5" s="138"/>
      <c r="IJE5" s="138"/>
      <c r="IJF5" s="138"/>
      <c r="IJG5" s="138"/>
      <c r="IJH5" s="138"/>
      <c r="IJI5" s="138"/>
      <c r="IJJ5" s="138"/>
      <c r="IJK5" s="138"/>
      <c r="IJL5" s="138"/>
      <c r="IJM5" s="138"/>
      <c r="IJN5" s="138"/>
      <c r="IJO5" s="138"/>
      <c r="IJP5" s="138"/>
      <c r="IJQ5" s="138"/>
      <c r="IJR5" s="138"/>
      <c r="IJS5" s="138"/>
      <c r="IJT5" s="138"/>
      <c r="IJU5" s="138"/>
      <c r="IJV5" s="138"/>
      <c r="IJW5" s="138"/>
      <c r="IJX5" s="138"/>
      <c r="IJY5" s="138"/>
      <c r="IJZ5" s="138"/>
      <c r="IKA5" s="138"/>
      <c r="IKB5" s="138"/>
      <c r="IKC5" s="138"/>
      <c r="IKD5" s="138"/>
      <c r="IKE5" s="138"/>
      <c r="IKF5" s="138"/>
      <c r="IKG5" s="138"/>
      <c r="IKH5" s="138"/>
      <c r="IKI5" s="138"/>
      <c r="IKJ5" s="138"/>
      <c r="IKK5" s="138"/>
      <c r="IKL5" s="138"/>
      <c r="IKM5" s="138"/>
      <c r="IKN5" s="138"/>
      <c r="IKO5" s="138"/>
      <c r="IKP5" s="138"/>
      <c r="IKQ5" s="138"/>
      <c r="IKR5" s="138"/>
      <c r="IKS5" s="138"/>
      <c r="IKT5" s="138"/>
      <c r="IKU5" s="138"/>
      <c r="IKV5" s="138"/>
      <c r="IKW5" s="138"/>
      <c r="IKX5" s="138"/>
      <c r="IKY5" s="138"/>
      <c r="IKZ5" s="138"/>
      <c r="ILA5" s="138"/>
      <c r="ILB5" s="138"/>
      <c r="ILC5" s="138"/>
      <c r="ILD5" s="138"/>
      <c r="ILE5" s="138"/>
      <c r="ILF5" s="138"/>
      <c r="ILG5" s="138"/>
      <c r="ILH5" s="138"/>
      <c r="ILI5" s="138"/>
      <c r="ILJ5" s="138"/>
      <c r="ILK5" s="138"/>
      <c r="ILL5" s="138"/>
      <c r="ILM5" s="138"/>
      <c r="ILN5" s="138"/>
      <c r="ILO5" s="138"/>
      <c r="ILP5" s="138"/>
      <c r="ILQ5" s="138"/>
      <c r="ILR5" s="138"/>
      <c r="ILS5" s="138"/>
      <c r="ILT5" s="138"/>
      <c r="ILU5" s="138"/>
      <c r="ILV5" s="138"/>
      <c r="ILW5" s="138"/>
      <c r="ILX5" s="138"/>
      <c r="ILY5" s="138"/>
      <c r="ILZ5" s="138"/>
      <c r="IMA5" s="138"/>
      <c r="IMB5" s="138"/>
      <c r="IMC5" s="138"/>
      <c r="IMD5" s="138"/>
      <c r="IME5" s="138"/>
      <c r="IMF5" s="138"/>
      <c r="IMG5" s="138"/>
      <c r="IMH5" s="138"/>
      <c r="IMI5" s="138"/>
      <c r="IMJ5" s="138"/>
      <c r="IMK5" s="138"/>
      <c r="IML5" s="138"/>
      <c r="IMM5" s="138"/>
      <c r="IMN5" s="138"/>
      <c r="IMO5" s="138"/>
      <c r="IMP5" s="138"/>
      <c r="IMQ5" s="138"/>
      <c r="IMR5" s="138"/>
      <c r="IMS5" s="138"/>
      <c r="IMT5" s="138"/>
      <c r="IMU5" s="138"/>
      <c r="IMV5" s="138"/>
      <c r="IMW5" s="138"/>
      <c r="IMX5" s="138"/>
      <c r="IMY5" s="138"/>
      <c r="IMZ5" s="138"/>
      <c r="INA5" s="138"/>
      <c r="INB5" s="138"/>
      <c r="INC5" s="138"/>
      <c r="IND5" s="138"/>
      <c r="INE5" s="138"/>
      <c r="INF5" s="138"/>
      <c r="ING5" s="138"/>
      <c r="INH5" s="138"/>
      <c r="INI5" s="138"/>
      <c r="INJ5" s="138"/>
      <c r="INK5" s="138"/>
      <c r="INL5" s="138"/>
      <c r="INM5" s="138"/>
      <c r="INN5" s="138"/>
      <c r="INO5" s="138"/>
      <c r="INP5" s="138"/>
      <c r="INQ5" s="138"/>
      <c r="INR5" s="138"/>
      <c r="INS5" s="138"/>
      <c r="INT5" s="138"/>
      <c r="INU5" s="138"/>
      <c r="INV5" s="138"/>
      <c r="INW5" s="138"/>
      <c r="INX5" s="138"/>
      <c r="INY5" s="138"/>
      <c r="INZ5" s="138"/>
      <c r="IOA5" s="138"/>
      <c r="IOB5" s="138"/>
      <c r="IOC5" s="138"/>
      <c r="IOD5" s="138"/>
      <c r="IOE5" s="138"/>
      <c r="IOF5" s="138"/>
      <c r="IOG5" s="138"/>
      <c r="IOH5" s="138"/>
      <c r="IOI5" s="138"/>
      <c r="IOJ5" s="138"/>
      <c r="IOK5" s="138"/>
      <c r="IOL5" s="138"/>
      <c r="IOM5" s="138"/>
      <c r="ION5" s="138"/>
      <c r="IOO5" s="138"/>
      <c r="IOP5" s="138"/>
      <c r="IOQ5" s="138"/>
      <c r="IOR5" s="138"/>
      <c r="IOS5" s="138"/>
      <c r="IOT5" s="138"/>
      <c r="IOU5" s="138"/>
      <c r="IOV5" s="138"/>
      <c r="IOW5" s="138"/>
      <c r="IOX5" s="138"/>
      <c r="IOY5" s="138"/>
      <c r="IOZ5" s="138"/>
      <c r="IPA5" s="138"/>
      <c r="IPB5" s="138"/>
      <c r="IPC5" s="138"/>
      <c r="IPD5" s="138"/>
      <c r="IPE5" s="138"/>
      <c r="IPF5" s="138"/>
      <c r="IPG5" s="138"/>
      <c r="IPH5" s="138"/>
      <c r="IPI5" s="138"/>
      <c r="IPJ5" s="138"/>
      <c r="IPK5" s="138"/>
      <c r="IPL5" s="138"/>
      <c r="IPM5" s="138"/>
      <c r="IPN5" s="138"/>
      <c r="IPO5" s="138"/>
      <c r="IPP5" s="138"/>
      <c r="IPQ5" s="138"/>
      <c r="IPR5" s="138"/>
      <c r="IPS5" s="138"/>
      <c r="IPT5" s="138"/>
      <c r="IPU5" s="138"/>
      <c r="IPV5" s="138"/>
      <c r="IPW5" s="138"/>
      <c r="IPX5" s="138"/>
      <c r="IPY5" s="138"/>
      <c r="IPZ5" s="138"/>
      <c r="IQA5" s="138"/>
      <c r="IQB5" s="138"/>
      <c r="IQC5" s="138"/>
      <c r="IQD5" s="138"/>
      <c r="IQE5" s="138"/>
      <c r="IQF5" s="138"/>
      <c r="IQG5" s="138"/>
      <c r="IQH5" s="138"/>
      <c r="IQI5" s="138"/>
      <c r="IQJ5" s="138"/>
      <c r="IQK5" s="138"/>
      <c r="IQL5" s="138"/>
      <c r="IQM5" s="138"/>
      <c r="IQN5" s="138"/>
      <c r="IQO5" s="138"/>
      <c r="IQP5" s="138"/>
      <c r="IQQ5" s="138"/>
      <c r="IQR5" s="138"/>
      <c r="IQS5" s="138"/>
      <c r="IQT5" s="138"/>
      <c r="IQU5" s="138"/>
      <c r="IQV5" s="138"/>
      <c r="IQW5" s="138"/>
      <c r="IQX5" s="138"/>
      <c r="IQY5" s="138"/>
      <c r="IQZ5" s="138"/>
      <c r="IRA5" s="138"/>
      <c r="IRB5" s="138"/>
      <c r="IRC5" s="138"/>
      <c r="IRD5" s="138"/>
      <c r="IRE5" s="138"/>
      <c r="IRF5" s="138"/>
      <c r="IRG5" s="138"/>
      <c r="IRH5" s="138"/>
      <c r="IRI5" s="138"/>
      <c r="IRJ5" s="138"/>
      <c r="IRK5" s="138"/>
      <c r="IRL5" s="138"/>
      <c r="IRM5" s="138"/>
      <c r="IRN5" s="138"/>
      <c r="IRO5" s="138"/>
      <c r="IRP5" s="138"/>
      <c r="IRQ5" s="138"/>
      <c r="IRR5" s="138"/>
      <c r="IRS5" s="138"/>
      <c r="IRT5" s="138"/>
      <c r="IRU5" s="138"/>
      <c r="IRV5" s="138"/>
      <c r="IRW5" s="138"/>
      <c r="IRX5" s="138"/>
      <c r="IRY5" s="138"/>
      <c r="IRZ5" s="138"/>
      <c r="ISA5" s="138"/>
      <c r="ISB5" s="138"/>
      <c r="ISC5" s="138"/>
      <c r="ISD5" s="138"/>
      <c r="ISE5" s="138"/>
      <c r="ISF5" s="138"/>
      <c r="ISG5" s="138"/>
      <c r="ISH5" s="138"/>
      <c r="ISI5" s="138"/>
      <c r="ISJ5" s="138"/>
      <c r="ISK5" s="138"/>
      <c r="ISL5" s="138"/>
      <c r="ISM5" s="138"/>
      <c r="ISN5" s="138"/>
      <c r="ISO5" s="138"/>
      <c r="ISP5" s="138"/>
      <c r="ISQ5" s="138"/>
      <c r="ISR5" s="138"/>
      <c r="ISS5" s="138"/>
      <c r="IST5" s="138"/>
      <c r="ISU5" s="138"/>
      <c r="ISV5" s="138"/>
      <c r="ISW5" s="138"/>
      <c r="ISX5" s="138"/>
      <c r="ISY5" s="138"/>
      <c r="ISZ5" s="138"/>
      <c r="ITA5" s="138"/>
      <c r="ITB5" s="138"/>
      <c r="ITC5" s="138"/>
      <c r="ITD5" s="138"/>
      <c r="ITE5" s="138"/>
      <c r="ITF5" s="138"/>
      <c r="ITG5" s="138"/>
      <c r="ITH5" s="138"/>
      <c r="ITI5" s="138"/>
      <c r="ITJ5" s="138"/>
      <c r="ITK5" s="138"/>
      <c r="ITL5" s="138"/>
      <c r="ITM5" s="138"/>
      <c r="ITN5" s="138"/>
      <c r="ITO5" s="138"/>
      <c r="ITP5" s="138"/>
      <c r="ITQ5" s="138"/>
      <c r="ITR5" s="138"/>
      <c r="ITS5" s="138"/>
      <c r="ITT5" s="138"/>
      <c r="ITU5" s="138"/>
      <c r="ITV5" s="138"/>
      <c r="ITW5" s="138"/>
      <c r="ITX5" s="138"/>
      <c r="ITY5" s="138"/>
      <c r="ITZ5" s="138"/>
      <c r="IUA5" s="138"/>
      <c r="IUB5" s="138"/>
      <c r="IUC5" s="138"/>
      <c r="IUD5" s="138"/>
      <c r="IUE5" s="138"/>
      <c r="IUF5" s="138"/>
      <c r="IUG5" s="138"/>
      <c r="IUH5" s="138"/>
      <c r="IUI5" s="138"/>
      <c r="IUJ5" s="138"/>
      <c r="IUK5" s="138"/>
      <c r="IUL5" s="138"/>
      <c r="IUM5" s="138"/>
      <c r="IUN5" s="138"/>
      <c r="IUO5" s="138"/>
      <c r="IUP5" s="138"/>
      <c r="IUQ5" s="138"/>
      <c r="IUR5" s="138"/>
      <c r="IUS5" s="138"/>
      <c r="IUT5" s="138"/>
      <c r="IUU5" s="138"/>
      <c r="IUV5" s="138"/>
      <c r="IUW5" s="138"/>
      <c r="IUX5" s="138"/>
      <c r="IUY5" s="138"/>
      <c r="IUZ5" s="138"/>
      <c r="IVA5" s="138"/>
      <c r="IVB5" s="138"/>
      <c r="IVC5" s="138"/>
      <c r="IVD5" s="138"/>
      <c r="IVE5" s="138"/>
      <c r="IVF5" s="138"/>
      <c r="IVG5" s="138"/>
      <c r="IVH5" s="138"/>
      <c r="IVI5" s="138"/>
      <c r="IVJ5" s="138"/>
      <c r="IVK5" s="138"/>
      <c r="IVL5" s="138"/>
      <c r="IVM5" s="138"/>
      <c r="IVN5" s="138"/>
      <c r="IVO5" s="138"/>
      <c r="IVP5" s="138"/>
      <c r="IVQ5" s="138"/>
      <c r="IVR5" s="138"/>
      <c r="IVS5" s="138"/>
      <c r="IVT5" s="138"/>
      <c r="IVU5" s="138"/>
      <c r="IVV5" s="138"/>
      <c r="IVW5" s="138"/>
      <c r="IVX5" s="138"/>
      <c r="IVY5" s="138"/>
      <c r="IVZ5" s="138"/>
      <c r="IWA5" s="138"/>
      <c r="IWB5" s="138"/>
      <c r="IWC5" s="138"/>
      <c r="IWD5" s="138"/>
      <c r="IWE5" s="138"/>
      <c r="IWF5" s="138"/>
      <c r="IWG5" s="138"/>
      <c r="IWH5" s="138"/>
      <c r="IWI5" s="138"/>
      <c r="IWJ5" s="138"/>
      <c r="IWK5" s="138"/>
      <c r="IWL5" s="138"/>
      <c r="IWM5" s="138"/>
      <c r="IWN5" s="138"/>
      <c r="IWO5" s="138"/>
      <c r="IWP5" s="138"/>
      <c r="IWQ5" s="138"/>
      <c r="IWR5" s="138"/>
      <c r="IWS5" s="138"/>
      <c r="IWT5" s="138"/>
      <c r="IWU5" s="138"/>
      <c r="IWV5" s="138"/>
      <c r="IWW5" s="138"/>
      <c r="IWX5" s="138"/>
      <c r="IWY5" s="138"/>
      <c r="IWZ5" s="138"/>
      <c r="IXA5" s="138"/>
      <c r="IXB5" s="138"/>
      <c r="IXC5" s="138"/>
      <c r="IXD5" s="138"/>
      <c r="IXE5" s="138"/>
      <c r="IXF5" s="138"/>
      <c r="IXG5" s="138"/>
      <c r="IXH5" s="138"/>
      <c r="IXI5" s="138"/>
      <c r="IXJ5" s="138"/>
      <c r="IXK5" s="138"/>
      <c r="IXL5" s="138"/>
      <c r="IXM5" s="138"/>
      <c r="IXN5" s="138"/>
      <c r="IXO5" s="138"/>
      <c r="IXP5" s="138"/>
      <c r="IXQ5" s="138"/>
      <c r="IXR5" s="138"/>
      <c r="IXS5" s="138"/>
      <c r="IXT5" s="138"/>
      <c r="IXU5" s="138"/>
      <c r="IXV5" s="138"/>
      <c r="IXW5" s="138"/>
      <c r="IXX5" s="138"/>
      <c r="IXY5" s="138"/>
      <c r="IXZ5" s="138"/>
      <c r="IYA5" s="138"/>
      <c r="IYB5" s="138"/>
      <c r="IYC5" s="138"/>
      <c r="IYD5" s="138"/>
      <c r="IYE5" s="138"/>
      <c r="IYF5" s="138"/>
      <c r="IYG5" s="138"/>
      <c r="IYH5" s="138"/>
      <c r="IYI5" s="138"/>
      <c r="IYJ5" s="138"/>
      <c r="IYK5" s="138"/>
      <c r="IYL5" s="138"/>
      <c r="IYM5" s="138"/>
      <c r="IYN5" s="138"/>
      <c r="IYO5" s="138"/>
      <c r="IYP5" s="138"/>
      <c r="IYQ5" s="138"/>
      <c r="IYR5" s="138"/>
      <c r="IYS5" s="138"/>
      <c r="IYT5" s="138"/>
      <c r="IYU5" s="138"/>
      <c r="IYV5" s="138"/>
      <c r="IYW5" s="138"/>
      <c r="IYX5" s="138"/>
      <c r="IYY5" s="138"/>
      <c r="IYZ5" s="138"/>
      <c r="IZA5" s="138"/>
      <c r="IZB5" s="138"/>
      <c r="IZC5" s="138"/>
      <c r="IZD5" s="138"/>
      <c r="IZE5" s="138"/>
      <c r="IZF5" s="138"/>
      <c r="IZG5" s="138"/>
      <c r="IZH5" s="138"/>
      <c r="IZI5" s="138"/>
      <c r="IZJ5" s="138"/>
      <c r="IZK5" s="138"/>
      <c r="IZL5" s="138"/>
      <c r="IZM5" s="138"/>
      <c r="IZN5" s="138"/>
      <c r="IZO5" s="138"/>
      <c r="IZP5" s="138"/>
      <c r="IZQ5" s="138"/>
      <c r="IZR5" s="138"/>
      <c r="IZS5" s="138"/>
      <c r="IZT5" s="138"/>
      <c r="IZU5" s="138"/>
      <c r="IZV5" s="138"/>
      <c r="IZW5" s="138"/>
      <c r="IZX5" s="138"/>
      <c r="IZY5" s="138"/>
      <c r="IZZ5" s="138"/>
      <c r="JAA5" s="138"/>
      <c r="JAB5" s="138"/>
      <c r="JAC5" s="138"/>
      <c r="JAD5" s="138"/>
      <c r="JAE5" s="138"/>
      <c r="JAF5" s="138"/>
      <c r="JAG5" s="138"/>
      <c r="JAH5" s="138"/>
      <c r="JAI5" s="138"/>
      <c r="JAJ5" s="138"/>
      <c r="JAK5" s="138"/>
      <c r="JAL5" s="138"/>
      <c r="JAM5" s="138"/>
      <c r="JAN5" s="138"/>
      <c r="JAO5" s="138"/>
      <c r="JAP5" s="138"/>
      <c r="JAQ5" s="138"/>
      <c r="JAR5" s="138"/>
      <c r="JAS5" s="138"/>
      <c r="JAT5" s="138"/>
      <c r="JAU5" s="138"/>
      <c r="JAV5" s="138"/>
      <c r="JAW5" s="138"/>
      <c r="JAX5" s="138"/>
      <c r="JAY5" s="138"/>
      <c r="JAZ5" s="138"/>
      <c r="JBA5" s="138"/>
      <c r="JBB5" s="138"/>
      <c r="JBC5" s="138"/>
      <c r="JBD5" s="138"/>
      <c r="JBE5" s="138"/>
      <c r="JBF5" s="138"/>
      <c r="JBG5" s="138"/>
      <c r="JBH5" s="138"/>
      <c r="JBI5" s="138"/>
      <c r="JBJ5" s="138"/>
      <c r="JBK5" s="138"/>
      <c r="JBL5" s="138"/>
      <c r="JBM5" s="138"/>
      <c r="JBN5" s="138"/>
      <c r="JBO5" s="138"/>
      <c r="JBP5" s="138"/>
      <c r="JBQ5" s="138"/>
      <c r="JBR5" s="138"/>
      <c r="JBS5" s="138"/>
      <c r="JBT5" s="138"/>
      <c r="JBU5" s="138"/>
      <c r="JBV5" s="138"/>
      <c r="JBW5" s="138"/>
      <c r="JBX5" s="138"/>
      <c r="JBY5" s="138"/>
      <c r="JBZ5" s="138"/>
      <c r="JCA5" s="138"/>
      <c r="JCB5" s="138"/>
      <c r="JCC5" s="138"/>
      <c r="JCD5" s="138"/>
      <c r="JCE5" s="138"/>
      <c r="JCF5" s="138"/>
      <c r="JCG5" s="138"/>
      <c r="JCH5" s="138"/>
      <c r="JCI5" s="138"/>
      <c r="JCJ5" s="138"/>
      <c r="JCK5" s="138"/>
      <c r="JCL5" s="138"/>
      <c r="JCM5" s="138"/>
      <c r="JCN5" s="138"/>
      <c r="JCO5" s="138"/>
      <c r="JCP5" s="138"/>
      <c r="JCQ5" s="138"/>
      <c r="JCR5" s="138"/>
      <c r="JCS5" s="138"/>
      <c r="JCT5" s="138"/>
      <c r="JCU5" s="138"/>
      <c r="JCV5" s="138"/>
      <c r="JCW5" s="138"/>
      <c r="JCX5" s="138"/>
      <c r="JCY5" s="138"/>
      <c r="JCZ5" s="138"/>
      <c r="JDA5" s="138"/>
      <c r="JDB5" s="138"/>
      <c r="JDC5" s="138"/>
      <c r="JDD5" s="138"/>
      <c r="JDE5" s="138"/>
      <c r="JDF5" s="138"/>
      <c r="JDG5" s="138"/>
      <c r="JDH5" s="138"/>
      <c r="JDI5" s="138"/>
      <c r="JDJ5" s="138"/>
      <c r="JDK5" s="138"/>
      <c r="JDL5" s="138"/>
      <c r="JDM5" s="138"/>
      <c r="JDN5" s="138"/>
      <c r="JDO5" s="138"/>
      <c r="JDP5" s="138"/>
      <c r="JDQ5" s="138"/>
      <c r="JDR5" s="138"/>
      <c r="JDS5" s="138"/>
      <c r="JDT5" s="138"/>
      <c r="JDU5" s="138"/>
      <c r="JDV5" s="138"/>
      <c r="JDW5" s="138"/>
      <c r="JDX5" s="138"/>
      <c r="JDY5" s="138"/>
      <c r="JDZ5" s="138"/>
      <c r="JEA5" s="138"/>
      <c r="JEB5" s="138"/>
      <c r="JEC5" s="138"/>
      <c r="JED5" s="138"/>
      <c r="JEE5" s="138"/>
      <c r="JEF5" s="138"/>
      <c r="JEG5" s="138"/>
      <c r="JEH5" s="138"/>
      <c r="JEI5" s="138"/>
      <c r="JEJ5" s="138"/>
      <c r="JEK5" s="138"/>
      <c r="JEL5" s="138"/>
      <c r="JEM5" s="138"/>
      <c r="JEN5" s="138"/>
      <c r="JEO5" s="138"/>
      <c r="JEP5" s="138"/>
      <c r="JEQ5" s="138"/>
      <c r="JER5" s="138"/>
      <c r="JES5" s="138"/>
      <c r="JET5" s="138"/>
      <c r="JEU5" s="138"/>
      <c r="JEV5" s="138"/>
      <c r="JEW5" s="138"/>
      <c r="JEX5" s="138"/>
      <c r="JEY5" s="138"/>
      <c r="JEZ5" s="138"/>
      <c r="JFA5" s="138"/>
      <c r="JFB5" s="138"/>
      <c r="JFC5" s="138"/>
      <c r="JFD5" s="138"/>
      <c r="JFE5" s="138"/>
      <c r="JFF5" s="138"/>
      <c r="JFG5" s="138"/>
      <c r="JFH5" s="138"/>
      <c r="JFI5" s="138"/>
      <c r="JFJ5" s="138"/>
      <c r="JFK5" s="138"/>
      <c r="JFL5" s="138"/>
      <c r="JFM5" s="138"/>
      <c r="JFN5" s="138"/>
      <c r="JFO5" s="138"/>
      <c r="JFP5" s="138"/>
      <c r="JFQ5" s="138"/>
      <c r="JFR5" s="138"/>
      <c r="JFS5" s="138"/>
      <c r="JFT5" s="138"/>
      <c r="JFU5" s="138"/>
      <c r="JFV5" s="138"/>
      <c r="JFW5" s="138"/>
      <c r="JFX5" s="138"/>
      <c r="JFY5" s="138"/>
      <c r="JFZ5" s="138"/>
      <c r="JGA5" s="138"/>
      <c r="JGB5" s="138"/>
      <c r="JGC5" s="138"/>
      <c r="JGD5" s="138"/>
      <c r="JGE5" s="138"/>
      <c r="JGF5" s="138"/>
      <c r="JGG5" s="138"/>
      <c r="JGH5" s="138"/>
      <c r="JGI5" s="138"/>
      <c r="JGJ5" s="138"/>
      <c r="JGK5" s="138"/>
      <c r="JGL5" s="138"/>
      <c r="JGM5" s="138"/>
      <c r="JGN5" s="138"/>
      <c r="JGO5" s="138"/>
      <c r="JGP5" s="138"/>
      <c r="JGQ5" s="138"/>
      <c r="JGR5" s="138"/>
      <c r="JGS5" s="138"/>
      <c r="JGT5" s="138"/>
      <c r="JGU5" s="138"/>
      <c r="JGV5" s="138"/>
      <c r="JGW5" s="138"/>
      <c r="JGX5" s="138"/>
      <c r="JGY5" s="138"/>
      <c r="JGZ5" s="138"/>
      <c r="JHA5" s="138"/>
      <c r="JHB5" s="138"/>
      <c r="JHC5" s="138"/>
      <c r="JHD5" s="138"/>
      <c r="JHE5" s="138"/>
      <c r="JHF5" s="138"/>
      <c r="JHG5" s="138"/>
      <c r="JHH5" s="138"/>
      <c r="JHI5" s="138"/>
      <c r="JHJ5" s="138"/>
      <c r="JHK5" s="138"/>
      <c r="JHL5" s="138"/>
      <c r="JHM5" s="138"/>
      <c r="JHN5" s="138"/>
      <c r="JHO5" s="138"/>
      <c r="JHP5" s="138"/>
      <c r="JHQ5" s="138"/>
      <c r="JHR5" s="138"/>
      <c r="JHS5" s="138"/>
      <c r="JHT5" s="138"/>
      <c r="JHU5" s="138"/>
      <c r="JHV5" s="138"/>
      <c r="JHW5" s="138"/>
      <c r="JHX5" s="138"/>
      <c r="JHY5" s="138"/>
      <c r="JHZ5" s="138"/>
      <c r="JIA5" s="138"/>
      <c r="JIB5" s="138"/>
      <c r="JIC5" s="138"/>
      <c r="JID5" s="138"/>
      <c r="JIE5" s="138"/>
      <c r="JIF5" s="138"/>
      <c r="JIG5" s="138"/>
      <c r="JIH5" s="138"/>
      <c r="JII5" s="138"/>
      <c r="JIJ5" s="138"/>
      <c r="JIK5" s="138"/>
      <c r="JIL5" s="138"/>
      <c r="JIM5" s="138"/>
      <c r="JIN5" s="138"/>
      <c r="JIO5" s="138"/>
      <c r="JIP5" s="138"/>
      <c r="JIQ5" s="138"/>
      <c r="JIR5" s="138"/>
      <c r="JIS5" s="138"/>
      <c r="JIT5" s="138"/>
      <c r="JIU5" s="138"/>
      <c r="JIV5" s="138"/>
      <c r="JIW5" s="138"/>
      <c r="JIX5" s="138"/>
      <c r="JIY5" s="138"/>
      <c r="JIZ5" s="138"/>
      <c r="JJA5" s="138"/>
      <c r="JJB5" s="138"/>
      <c r="JJC5" s="138"/>
      <c r="JJD5" s="138"/>
      <c r="JJE5" s="138"/>
      <c r="JJF5" s="138"/>
      <c r="JJG5" s="138"/>
      <c r="JJH5" s="138"/>
      <c r="JJI5" s="138"/>
      <c r="JJJ5" s="138"/>
      <c r="JJK5" s="138"/>
      <c r="JJL5" s="138"/>
      <c r="JJM5" s="138"/>
      <c r="JJN5" s="138"/>
      <c r="JJO5" s="138"/>
      <c r="JJP5" s="138"/>
      <c r="JJQ5" s="138"/>
      <c r="JJR5" s="138"/>
      <c r="JJS5" s="138"/>
      <c r="JJT5" s="138"/>
      <c r="JJU5" s="138"/>
      <c r="JJV5" s="138"/>
      <c r="JJW5" s="138"/>
      <c r="JJX5" s="138"/>
      <c r="JJY5" s="138"/>
      <c r="JJZ5" s="138"/>
      <c r="JKA5" s="138"/>
      <c r="JKB5" s="138"/>
      <c r="JKC5" s="138"/>
      <c r="JKD5" s="138"/>
      <c r="JKE5" s="138"/>
      <c r="JKF5" s="138"/>
      <c r="JKG5" s="138"/>
      <c r="JKH5" s="138"/>
      <c r="JKI5" s="138"/>
      <c r="JKJ5" s="138"/>
      <c r="JKK5" s="138"/>
      <c r="JKL5" s="138"/>
      <c r="JKM5" s="138"/>
      <c r="JKN5" s="138"/>
      <c r="JKO5" s="138"/>
      <c r="JKP5" s="138"/>
      <c r="JKQ5" s="138"/>
      <c r="JKR5" s="138"/>
      <c r="JKS5" s="138"/>
      <c r="JKT5" s="138"/>
      <c r="JKU5" s="138"/>
      <c r="JKV5" s="138"/>
      <c r="JKW5" s="138"/>
      <c r="JKX5" s="138"/>
      <c r="JKY5" s="138"/>
      <c r="JKZ5" s="138"/>
      <c r="JLA5" s="138"/>
      <c r="JLB5" s="138"/>
      <c r="JLC5" s="138"/>
      <c r="JLD5" s="138"/>
      <c r="JLE5" s="138"/>
      <c r="JLF5" s="138"/>
      <c r="JLG5" s="138"/>
      <c r="JLH5" s="138"/>
      <c r="JLI5" s="138"/>
      <c r="JLJ5" s="138"/>
      <c r="JLK5" s="138"/>
      <c r="JLL5" s="138"/>
      <c r="JLM5" s="138"/>
      <c r="JLN5" s="138"/>
      <c r="JLO5" s="138"/>
      <c r="JLP5" s="138"/>
      <c r="JLQ5" s="138"/>
      <c r="JLR5" s="138"/>
      <c r="JLS5" s="138"/>
      <c r="JLT5" s="138"/>
      <c r="JLU5" s="138"/>
      <c r="JLV5" s="138"/>
      <c r="JLW5" s="138"/>
      <c r="JLX5" s="138"/>
      <c r="JLY5" s="138"/>
      <c r="JLZ5" s="138"/>
      <c r="JMA5" s="138"/>
      <c r="JMB5" s="138"/>
      <c r="JMC5" s="138"/>
      <c r="JMD5" s="138"/>
      <c r="JME5" s="138"/>
      <c r="JMF5" s="138"/>
      <c r="JMG5" s="138"/>
      <c r="JMH5" s="138"/>
      <c r="JMI5" s="138"/>
      <c r="JMJ5" s="138"/>
      <c r="JMK5" s="138"/>
      <c r="JML5" s="138"/>
      <c r="JMM5" s="138"/>
      <c r="JMN5" s="138"/>
      <c r="JMO5" s="138"/>
      <c r="JMP5" s="138"/>
      <c r="JMQ5" s="138"/>
      <c r="JMR5" s="138"/>
      <c r="JMS5" s="138"/>
      <c r="JMT5" s="138"/>
      <c r="JMU5" s="138"/>
      <c r="JMV5" s="138"/>
      <c r="JMW5" s="138"/>
      <c r="JMX5" s="138"/>
      <c r="JMY5" s="138"/>
      <c r="JMZ5" s="138"/>
      <c r="JNA5" s="138"/>
      <c r="JNB5" s="138"/>
      <c r="JNC5" s="138"/>
      <c r="JND5" s="138"/>
      <c r="JNE5" s="138"/>
      <c r="JNF5" s="138"/>
      <c r="JNG5" s="138"/>
      <c r="JNH5" s="138"/>
      <c r="JNI5" s="138"/>
      <c r="JNJ5" s="138"/>
      <c r="JNK5" s="138"/>
      <c r="JNL5" s="138"/>
      <c r="JNM5" s="138"/>
      <c r="JNN5" s="138"/>
      <c r="JNO5" s="138"/>
      <c r="JNP5" s="138"/>
      <c r="JNQ5" s="138"/>
      <c r="JNR5" s="138"/>
      <c r="JNS5" s="138"/>
      <c r="JNT5" s="138"/>
      <c r="JNU5" s="138"/>
      <c r="JNV5" s="138"/>
      <c r="JNW5" s="138"/>
      <c r="JNX5" s="138"/>
      <c r="JNY5" s="138"/>
      <c r="JNZ5" s="138"/>
      <c r="JOA5" s="138"/>
      <c r="JOB5" s="138"/>
      <c r="JOC5" s="138"/>
      <c r="JOD5" s="138"/>
      <c r="JOE5" s="138"/>
      <c r="JOF5" s="138"/>
      <c r="JOG5" s="138"/>
      <c r="JOH5" s="138"/>
      <c r="JOI5" s="138"/>
      <c r="JOJ5" s="138"/>
      <c r="JOK5" s="138"/>
      <c r="JOL5" s="138"/>
      <c r="JOM5" s="138"/>
      <c r="JON5" s="138"/>
      <c r="JOO5" s="138"/>
      <c r="JOP5" s="138"/>
      <c r="JOQ5" s="138"/>
      <c r="JOR5" s="138"/>
      <c r="JOS5" s="138"/>
      <c r="JOT5" s="138"/>
      <c r="JOU5" s="138"/>
      <c r="JOV5" s="138"/>
      <c r="JOW5" s="138"/>
      <c r="JOX5" s="138"/>
      <c r="JOY5" s="138"/>
      <c r="JOZ5" s="138"/>
      <c r="JPA5" s="138"/>
      <c r="JPB5" s="138"/>
      <c r="JPC5" s="138"/>
      <c r="JPD5" s="138"/>
      <c r="JPE5" s="138"/>
      <c r="JPF5" s="138"/>
      <c r="JPG5" s="138"/>
      <c r="JPH5" s="138"/>
      <c r="JPI5" s="138"/>
      <c r="JPJ5" s="138"/>
      <c r="JPK5" s="138"/>
      <c r="JPL5" s="138"/>
      <c r="JPM5" s="138"/>
      <c r="JPN5" s="138"/>
      <c r="JPO5" s="138"/>
      <c r="JPP5" s="138"/>
      <c r="JPQ5" s="138"/>
      <c r="JPR5" s="138"/>
      <c r="JPS5" s="138"/>
      <c r="JPT5" s="138"/>
      <c r="JPU5" s="138"/>
      <c r="JPV5" s="138"/>
      <c r="JPW5" s="138"/>
      <c r="JPX5" s="138"/>
      <c r="JPY5" s="138"/>
      <c r="JPZ5" s="138"/>
      <c r="JQA5" s="138"/>
      <c r="JQB5" s="138"/>
      <c r="JQC5" s="138"/>
      <c r="JQD5" s="138"/>
      <c r="JQE5" s="138"/>
      <c r="JQF5" s="138"/>
      <c r="JQG5" s="138"/>
      <c r="JQH5" s="138"/>
      <c r="JQI5" s="138"/>
      <c r="JQJ5" s="138"/>
      <c r="JQK5" s="138"/>
      <c r="JQL5" s="138"/>
      <c r="JQM5" s="138"/>
      <c r="JQN5" s="138"/>
      <c r="JQO5" s="138"/>
      <c r="JQP5" s="138"/>
      <c r="JQQ5" s="138"/>
      <c r="JQR5" s="138"/>
      <c r="JQS5" s="138"/>
      <c r="JQT5" s="138"/>
      <c r="JQU5" s="138"/>
      <c r="JQV5" s="138"/>
      <c r="JQW5" s="138"/>
      <c r="JQX5" s="138"/>
      <c r="JQY5" s="138"/>
      <c r="JQZ5" s="138"/>
      <c r="JRA5" s="138"/>
      <c r="JRB5" s="138"/>
      <c r="JRC5" s="138"/>
      <c r="JRD5" s="138"/>
      <c r="JRE5" s="138"/>
      <c r="JRF5" s="138"/>
      <c r="JRG5" s="138"/>
      <c r="JRH5" s="138"/>
      <c r="JRI5" s="138"/>
      <c r="JRJ5" s="138"/>
      <c r="JRK5" s="138"/>
      <c r="JRL5" s="138"/>
      <c r="JRM5" s="138"/>
      <c r="JRN5" s="138"/>
      <c r="JRO5" s="138"/>
      <c r="JRP5" s="138"/>
      <c r="JRQ5" s="138"/>
      <c r="JRR5" s="138"/>
      <c r="JRS5" s="138"/>
      <c r="JRT5" s="138"/>
      <c r="JRU5" s="138"/>
      <c r="JRV5" s="138"/>
      <c r="JRW5" s="138"/>
      <c r="JRX5" s="138"/>
      <c r="JRY5" s="138"/>
      <c r="JRZ5" s="138"/>
      <c r="JSA5" s="138"/>
      <c r="JSB5" s="138"/>
      <c r="JSC5" s="138"/>
      <c r="JSD5" s="138"/>
      <c r="JSE5" s="138"/>
      <c r="JSF5" s="138"/>
      <c r="JSG5" s="138"/>
      <c r="JSH5" s="138"/>
      <c r="JSI5" s="138"/>
      <c r="JSJ5" s="138"/>
      <c r="JSK5" s="138"/>
      <c r="JSL5" s="138"/>
      <c r="JSM5" s="138"/>
      <c r="JSN5" s="138"/>
      <c r="JSO5" s="138"/>
      <c r="JSP5" s="138"/>
      <c r="JSQ5" s="138"/>
      <c r="JSR5" s="138"/>
      <c r="JSS5" s="138"/>
      <c r="JST5" s="138"/>
      <c r="JSU5" s="138"/>
      <c r="JSV5" s="138"/>
      <c r="JSW5" s="138"/>
      <c r="JSX5" s="138"/>
      <c r="JSY5" s="138"/>
      <c r="JSZ5" s="138"/>
      <c r="JTA5" s="138"/>
      <c r="JTB5" s="138"/>
      <c r="JTC5" s="138"/>
      <c r="JTD5" s="138"/>
      <c r="JTE5" s="138"/>
      <c r="JTF5" s="138"/>
      <c r="JTG5" s="138"/>
      <c r="JTH5" s="138"/>
      <c r="JTI5" s="138"/>
      <c r="JTJ5" s="138"/>
      <c r="JTK5" s="138"/>
      <c r="JTL5" s="138"/>
      <c r="JTM5" s="138"/>
      <c r="JTN5" s="138"/>
      <c r="JTO5" s="138"/>
      <c r="JTP5" s="138"/>
      <c r="JTQ5" s="138"/>
      <c r="JTR5" s="138"/>
      <c r="JTS5" s="138"/>
      <c r="JTT5" s="138"/>
      <c r="JTU5" s="138"/>
      <c r="JTV5" s="138"/>
      <c r="JTW5" s="138"/>
      <c r="JTX5" s="138"/>
      <c r="JTY5" s="138"/>
      <c r="JTZ5" s="138"/>
      <c r="JUA5" s="138"/>
      <c r="JUB5" s="138"/>
      <c r="JUC5" s="138"/>
      <c r="JUD5" s="138"/>
      <c r="JUE5" s="138"/>
      <c r="JUF5" s="138"/>
      <c r="JUG5" s="138"/>
      <c r="JUH5" s="138"/>
      <c r="JUI5" s="138"/>
      <c r="JUJ5" s="138"/>
      <c r="JUK5" s="138"/>
      <c r="JUL5" s="138"/>
      <c r="JUM5" s="138"/>
      <c r="JUN5" s="138"/>
      <c r="JUO5" s="138"/>
      <c r="JUP5" s="138"/>
      <c r="JUQ5" s="138"/>
      <c r="JUR5" s="138"/>
      <c r="JUS5" s="138"/>
      <c r="JUT5" s="138"/>
      <c r="JUU5" s="138"/>
      <c r="JUV5" s="138"/>
      <c r="JUW5" s="138"/>
      <c r="JUX5" s="138"/>
      <c r="JUY5" s="138"/>
      <c r="JUZ5" s="138"/>
      <c r="JVA5" s="138"/>
      <c r="JVB5" s="138"/>
      <c r="JVC5" s="138"/>
      <c r="JVD5" s="138"/>
      <c r="JVE5" s="138"/>
      <c r="JVF5" s="138"/>
      <c r="JVG5" s="138"/>
      <c r="JVH5" s="138"/>
      <c r="JVI5" s="138"/>
      <c r="JVJ5" s="138"/>
      <c r="JVK5" s="138"/>
      <c r="JVL5" s="138"/>
      <c r="JVM5" s="138"/>
      <c r="JVN5" s="138"/>
      <c r="JVO5" s="138"/>
      <c r="JVP5" s="138"/>
      <c r="JVQ5" s="138"/>
      <c r="JVR5" s="138"/>
      <c r="JVS5" s="138"/>
      <c r="JVT5" s="138"/>
      <c r="JVU5" s="138"/>
      <c r="JVV5" s="138"/>
      <c r="JVW5" s="138"/>
      <c r="JVX5" s="138"/>
      <c r="JVY5" s="138"/>
      <c r="JVZ5" s="138"/>
      <c r="JWA5" s="138"/>
      <c r="JWB5" s="138"/>
      <c r="JWC5" s="138"/>
      <c r="JWD5" s="138"/>
      <c r="JWE5" s="138"/>
      <c r="JWF5" s="138"/>
      <c r="JWG5" s="138"/>
      <c r="JWH5" s="138"/>
      <c r="JWI5" s="138"/>
      <c r="JWJ5" s="138"/>
      <c r="JWK5" s="138"/>
      <c r="JWL5" s="138"/>
      <c r="JWM5" s="138"/>
      <c r="JWN5" s="138"/>
      <c r="JWO5" s="138"/>
      <c r="JWP5" s="138"/>
      <c r="JWQ5" s="138"/>
      <c r="JWR5" s="138"/>
      <c r="JWS5" s="138"/>
      <c r="JWT5" s="138"/>
      <c r="JWU5" s="138"/>
      <c r="JWV5" s="138"/>
      <c r="JWW5" s="138"/>
      <c r="JWX5" s="138"/>
      <c r="JWY5" s="138"/>
      <c r="JWZ5" s="138"/>
      <c r="JXA5" s="138"/>
      <c r="JXB5" s="138"/>
      <c r="JXC5" s="138"/>
      <c r="JXD5" s="138"/>
      <c r="JXE5" s="138"/>
      <c r="JXF5" s="138"/>
      <c r="JXG5" s="138"/>
      <c r="JXH5" s="138"/>
      <c r="JXI5" s="138"/>
      <c r="JXJ5" s="138"/>
      <c r="JXK5" s="138"/>
      <c r="JXL5" s="138"/>
      <c r="JXM5" s="138"/>
      <c r="JXN5" s="138"/>
      <c r="JXO5" s="138"/>
      <c r="JXP5" s="138"/>
      <c r="JXQ5" s="138"/>
      <c r="JXR5" s="138"/>
      <c r="JXS5" s="138"/>
      <c r="JXT5" s="138"/>
      <c r="JXU5" s="138"/>
      <c r="JXV5" s="138"/>
      <c r="JXW5" s="138"/>
      <c r="JXX5" s="138"/>
      <c r="JXY5" s="138"/>
      <c r="JXZ5" s="138"/>
      <c r="JYA5" s="138"/>
      <c r="JYB5" s="138"/>
      <c r="JYC5" s="138"/>
      <c r="JYD5" s="138"/>
      <c r="JYE5" s="138"/>
      <c r="JYF5" s="138"/>
      <c r="JYG5" s="138"/>
      <c r="JYH5" s="138"/>
      <c r="JYI5" s="138"/>
      <c r="JYJ5" s="138"/>
      <c r="JYK5" s="138"/>
      <c r="JYL5" s="138"/>
      <c r="JYM5" s="138"/>
      <c r="JYN5" s="138"/>
      <c r="JYO5" s="138"/>
      <c r="JYP5" s="138"/>
      <c r="JYQ5" s="138"/>
      <c r="JYR5" s="138"/>
      <c r="JYS5" s="138"/>
      <c r="JYT5" s="138"/>
      <c r="JYU5" s="138"/>
      <c r="JYV5" s="138"/>
      <c r="JYW5" s="138"/>
      <c r="JYX5" s="138"/>
      <c r="JYY5" s="138"/>
      <c r="JYZ5" s="138"/>
      <c r="JZA5" s="138"/>
      <c r="JZB5" s="138"/>
      <c r="JZC5" s="138"/>
      <c r="JZD5" s="138"/>
      <c r="JZE5" s="138"/>
      <c r="JZF5" s="138"/>
      <c r="JZG5" s="138"/>
      <c r="JZH5" s="138"/>
      <c r="JZI5" s="138"/>
      <c r="JZJ5" s="138"/>
      <c r="JZK5" s="138"/>
      <c r="JZL5" s="138"/>
      <c r="JZM5" s="138"/>
      <c r="JZN5" s="138"/>
      <c r="JZO5" s="138"/>
      <c r="JZP5" s="138"/>
      <c r="JZQ5" s="138"/>
      <c r="JZR5" s="138"/>
      <c r="JZS5" s="138"/>
      <c r="JZT5" s="138"/>
      <c r="JZU5" s="138"/>
      <c r="JZV5" s="138"/>
      <c r="JZW5" s="138"/>
      <c r="JZX5" s="138"/>
      <c r="JZY5" s="138"/>
      <c r="JZZ5" s="138"/>
      <c r="KAA5" s="138"/>
      <c r="KAB5" s="138"/>
      <c r="KAC5" s="138"/>
      <c r="KAD5" s="138"/>
      <c r="KAE5" s="138"/>
      <c r="KAF5" s="138"/>
      <c r="KAG5" s="138"/>
      <c r="KAH5" s="138"/>
      <c r="KAI5" s="138"/>
      <c r="KAJ5" s="138"/>
      <c r="KAK5" s="138"/>
      <c r="KAL5" s="138"/>
      <c r="KAM5" s="138"/>
      <c r="KAN5" s="138"/>
      <c r="KAO5" s="138"/>
      <c r="KAP5" s="138"/>
      <c r="KAQ5" s="138"/>
      <c r="KAR5" s="138"/>
      <c r="KAS5" s="138"/>
      <c r="KAT5" s="138"/>
      <c r="KAU5" s="138"/>
      <c r="KAV5" s="138"/>
      <c r="KAW5" s="138"/>
      <c r="KAX5" s="138"/>
      <c r="KAY5" s="138"/>
      <c r="KAZ5" s="138"/>
      <c r="KBA5" s="138"/>
      <c r="KBB5" s="138"/>
      <c r="KBC5" s="138"/>
      <c r="KBD5" s="138"/>
      <c r="KBE5" s="138"/>
      <c r="KBF5" s="138"/>
      <c r="KBG5" s="138"/>
      <c r="KBH5" s="138"/>
      <c r="KBI5" s="138"/>
      <c r="KBJ5" s="138"/>
      <c r="KBK5" s="138"/>
      <c r="KBL5" s="138"/>
      <c r="KBM5" s="138"/>
      <c r="KBN5" s="138"/>
      <c r="KBO5" s="138"/>
      <c r="KBP5" s="138"/>
      <c r="KBQ5" s="138"/>
      <c r="KBR5" s="138"/>
      <c r="KBS5" s="138"/>
      <c r="KBT5" s="138"/>
      <c r="KBU5" s="138"/>
      <c r="KBV5" s="138"/>
      <c r="KBW5" s="138"/>
      <c r="KBX5" s="138"/>
      <c r="KBY5" s="138"/>
      <c r="KBZ5" s="138"/>
      <c r="KCA5" s="138"/>
      <c r="KCB5" s="138"/>
      <c r="KCC5" s="138"/>
      <c r="KCD5" s="138"/>
      <c r="KCE5" s="138"/>
      <c r="KCF5" s="138"/>
      <c r="KCG5" s="138"/>
      <c r="KCH5" s="138"/>
      <c r="KCI5" s="138"/>
      <c r="KCJ5" s="138"/>
      <c r="KCK5" s="138"/>
      <c r="KCL5" s="138"/>
      <c r="KCM5" s="138"/>
      <c r="KCN5" s="138"/>
      <c r="KCO5" s="138"/>
      <c r="KCP5" s="138"/>
      <c r="KCQ5" s="138"/>
      <c r="KCR5" s="138"/>
      <c r="KCS5" s="138"/>
      <c r="KCT5" s="138"/>
      <c r="KCU5" s="138"/>
      <c r="KCV5" s="138"/>
      <c r="KCW5" s="138"/>
      <c r="KCX5" s="138"/>
      <c r="KCY5" s="138"/>
      <c r="KCZ5" s="138"/>
      <c r="KDA5" s="138"/>
      <c r="KDB5" s="138"/>
      <c r="KDC5" s="138"/>
      <c r="KDD5" s="138"/>
      <c r="KDE5" s="138"/>
      <c r="KDF5" s="138"/>
      <c r="KDG5" s="138"/>
      <c r="KDH5" s="138"/>
      <c r="KDI5" s="138"/>
      <c r="KDJ5" s="138"/>
      <c r="KDK5" s="138"/>
      <c r="KDL5" s="138"/>
      <c r="KDM5" s="138"/>
      <c r="KDN5" s="138"/>
      <c r="KDO5" s="138"/>
      <c r="KDP5" s="138"/>
      <c r="KDQ5" s="138"/>
      <c r="KDR5" s="138"/>
      <c r="KDS5" s="138"/>
      <c r="KDT5" s="138"/>
      <c r="KDU5" s="138"/>
      <c r="KDV5" s="138"/>
      <c r="KDW5" s="138"/>
      <c r="KDX5" s="138"/>
      <c r="KDY5" s="138"/>
      <c r="KDZ5" s="138"/>
      <c r="KEA5" s="138"/>
      <c r="KEB5" s="138"/>
      <c r="KEC5" s="138"/>
      <c r="KED5" s="138"/>
      <c r="KEE5" s="138"/>
      <c r="KEF5" s="138"/>
      <c r="KEG5" s="138"/>
      <c r="KEH5" s="138"/>
      <c r="KEI5" s="138"/>
      <c r="KEJ5" s="138"/>
      <c r="KEK5" s="138"/>
      <c r="KEL5" s="138"/>
      <c r="KEM5" s="138"/>
      <c r="KEN5" s="138"/>
      <c r="KEO5" s="138"/>
      <c r="KEP5" s="138"/>
      <c r="KEQ5" s="138"/>
      <c r="KER5" s="138"/>
      <c r="KES5" s="138"/>
      <c r="KET5" s="138"/>
      <c r="KEU5" s="138"/>
      <c r="KEV5" s="138"/>
      <c r="KEW5" s="138"/>
      <c r="KEX5" s="138"/>
      <c r="KEY5" s="138"/>
      <c r="KEZ5" s="138"/>
      <c r="KFA5" s="138"/>
      <c r="KFB5" s="138"/>
      <c r="KFC5" s="138"/>
      <c r="KFD5" s="138"/>
      <c r="KFE5" s="138"/>
      <c r="KFF5" s="138"/>
      <c r="KFG5" s="138"/>
      <c r="KFH5" s="138"/>
      <c r="KFI5" s="138"/>
      <c r="KFJ5" s="138"/>
      <c r="KFK5" s="138"/>
      <c r="KFL5" s="138"/>
      <c r="KFM5" s="138"/>
      <c r="KFN5" s="138"/>
      <c r="KFO5" s="138"/>
      <c r="KFP5" s="138"/>
      <c r="KFQ5" s="138"/>
      <c r="KFR5" s="138"/>
      <c r="KFS5" s="138"/>
      <c r="KFT5" s="138"/>
      <c r="KFU5" s="138"/>
      <c r="KFV5" s="138"/>
      <c r="KFW5" s="138"/>
      <c r="KFX5" s="138"/>
      <c r="KFY5" s="138"/>
      <c r="KFZ5" s="138"/>
      <c r="KGA5" s="138"/>
      <c r="KGB5" s="138"/>
      <c r="KGC5" s="138"/>
      <c r="KGD5" s="138"/>
      <c r="KGE5" s="138"/>
      <c r="KGF5" s="138"/>
      <c r="KGG5" s="138"/>
      <c r="KGH5" s="138"/>
      <c r="KGI5" s="138"/>
      <c r="KGJ5" s="138"/>
      <c r="KGK5" s="138"/>
      <c r="KGL5" s="138"/>
      <c r="KGM5" s="138"/>
      <c r="KGN5" s="138"/>
      <c r="KGO5" s="138"/>
      <c r="KGP5" s="138"/>
      <c r="KGQ5" s="138"/>
      <c r="KGR5" s="138"/>
      <c r="KGS5" s="138"/>
      <c r="KGT5" s="138"/>
      <c r="KGU5" s="138"/>
      <c r="KGV5" s="138"/>
      <c r="KGW5" s="138"/>
      <c r="KGX5" s="138"/>
      <c r="KGY5" s="138"/>
      <c r="KGZ5" s="138"/>
      <c r="KHA5" s="138"/>
      <c r="KHB5" s="138"/>
      <c r="KHC5" s="138"/>
      <c r="KHD5" s="138"/>
      <c r="KHE5" s="138"/>
      <c r="KHF5" s="138"/>
      <c r="KHG5" s="138"/>
      <c r="KHH5" s="138"/>
      <c r="KHI5" s="138"/>
      <c r="KHJ5" s="138"/>
      <c r="KHK5" s="138"/>
      <c r="KHL5" s="138"/>
      <c r="KHM5" s="138"/>
      <c r="KHN5" s="138"/>
      <c r="KHO5" s="138"/>
      <c r="KHP5" s="138"/>
      <c r="KHQ5" s="138"/>
      <c r="KHR5" s="138"/>
      <c r="KHS5" s="138"/>
      <c r="KHT5" s="138"/>
      <c r="KHU5" s="138"/>
      <c r="KHV5" s="138"/>
      <c r="KHW5" s="138"/>
      <c r="KHX5" s="138"/>
      <c r="KHY5" s="138"/>
      <c r="KHZ5" s="138"/>
      <c r="KIA5" s="138"/>
      <c r="KIB5" s="138"/>
      <c r="KIC5" s="138"/>
      <c r="KID5" s="138"/>
      <c r="KIE5" s="138"/>
      <c r="KIF5" s="138"/>
      <c r="KIG5" s="138"/>
      <c r="KIH5" s="138"/>
      <c r="KII5" s="138"/>
      <c r="KIJ5" s="138"/>
      <c r="KIK5" s="138"/>
      <c r="KIL5" s="138"/>
      <c r="KIM5" s="138"/>
      <c r="KIN5" s="138"/>
      <c r="KIO5" s="138"/>
      <c r="KIP5" s="138"/>
      <c r="KIQ5" s="138"/>
      <c r="KIR5" s="138"/>
      <c r="KIS5" s="138"/>
      <c r="KIT5" s="138"/>
      <c r="KIU5" s="138"/>
      <c r="KIV5" s="138"/>
      <c r="KIW5" s="138"/>
      <c r="KIX5" s="138"/>
      <c r="KIY5" s="138"/>
      <c r="KIZ5" s="138"/>
      <c r="KJA5" s="138"/>
      <c r="KJB5" s="138"/>
      <c r="KJC5" s="138"/>
      <c r="KJD5" s="138"/>
      <c r="KJE5" s="138"/>
      <c r="KJF5" s="138"/>
      <c r="KJG5" s="138"/>
      <c r="KJH5" s="138"/>
      <c r="KJI5" s="138"/>
      <c r="KJJ5" s="138"/>
      <c r="KJK5" s="138"/>
      <c r="KJL5" s="138"/>
      <c r="KJM5" s="138"/>
      <c r="KJN5" s="138"/>
      <c r="KJO5" s="138"/>
      <c r="KJP5" s="138"/>
      <c r="KJQ5" s="138"/>
      <c r="KJR5" s="138"/>
      <c r="KJS5" s="138"/>
      <c r="KJT5" s="138"/>
      <c r="KJU5" s="138"/>
      <c r="KJV5" s="138"/>
      <c r="KJW5" s="138"/>
      <c r="KJX5" s="138"/>
      <c r="KJY5" s="138"/>
      <c r="KJZ5" s="138"/>
      <c r="KKA5" s="138"/>
      <c r="KKB5" s="138"/>
      <c r="KKC5" s="138"/>
      <c r="KKD5" s="138"/>
      <c r="KKE5" s="138"/>
      <c r="KKF5" s="138"/>
      <c r="KKG5" s="138"/>
      <c r="KKH5" s="138"/>
      <c r="KKI5" s="138"/>
      <c r="KKJ5" s="138"/>
      <c r="KKK5" s="138"/>
      <c r="KKL5" s="138"/>
      <c r="KKM5" s="138"/>
      <c r="KKN5" s="138"/>
      <c r="KKO5" s="138"/>
      <c r="KKP5" s="138"/>
      <c r="KKQ5" s="138"/>
      <c r="KKR5" s="138"/>
      <c r="KKS5" s="138"/>
      <c r="KKT5" s="138"/>
      <c r="KKU5" s="138"/>
      <c r="KKV5" s="138"/>
      <c r="KKW5" s="138"/>
      <c r="KKX5" s="138"/>
      <c r="KKY5" s="138"/>
      <c r="KKZ5" s="138"/>
      <c r="KLA5" s="138"/>
      <c r="KLB5" s="138"/>
      <c r="KLC5" s="138"/>
      <c r="KLD5" s="138"/>
      <c r="KLE5" s="138"/>
      <c r="KLF5" s="138"/>
      <c r="KLG5" s="138"/>
      <c r="KLH5" s="138"/>
      <c r="KLI5" s="138"/>
      <c r="KLJ5" s="138"/>
      <c r="KLK5" s="138"/>
      <c r="KLL5" s="138"/>
      <c r="KLM5" s="138"/>
      <c r="KLN5" s="138"/>
      <c r="KLO5" s="138"/>
      <c r="KLP5" s="138"/>
      <c r="KLQ5" s="138"/>
      <c r="KLR5" s="138"/>
      <c r="KLS5" s="138"/>
      <c r="KLT5" s="138"/>
      <c r="KLU5" s="138"/>
      <c r="KLV5" s="138"/>
      <c r="KLW5" s="138"/>
      <c r="KLX5" s="138"/>
      <c r="KLY5" s="138"/>
      <c r="KLZ5" s="138"/>
      <c r="KMA5" s="138"/>
      <c r="KMB5" s="138"/>
      <c r="KMC5" s="138"/>
      <c r="KMD5" s="138"/>
      <c r="KME5" s="138"/>
      <c r="KMF5" s="138"/>
      <c r="KMG5" s="138"/>
      <c r="KMH5" s="138"/>
      <c r="KMI5" s="138"/>
      <c r="KMJ5" s="138"/>
      <c r="KMK5" s="138"/>
      <c r="KML5" s="138"/>
      <c r="KMM5" s="138"/>
      <c r="KMN5" s="138"/>
      <c r="KMO5" s="138"/>
      <c r="KMP5" s="138"/>
      <c r="KMQ5" s="138"/>
      <c r="KMR5" s="138"/>
      <c r="KMS5" s="138"/>
      <c r="KMT5" s="138"/>
      <c r="KMU5" s="138"/>
      <c r="KMV5" s="138"/>
      <c r="KMW5" s="138"/>
      <c r="KMX5" s="138"/>
      <c r="KMY5" s="138"/>
      <c r="KMZ5" s="138"/>
      <c r="KNA5" s="138"/>
      <c r="KNB5" s="138"/>
      <c r="KNC5" s="138"/>
      <c r="KND5" s="138"/>
      <c r="KNE5" s="138"/>
      <c r="KNF5" s="138"/>
      <c r="KNG5" s="138"/>
      <c r="KNH5" s="138"/>
      <c r="KNI5" s="138"/>
      <c r="KNJ5" s="138"/>
      <c r="KNK5" s="138"/>
      <c r="KNL5" s="138"/>
      <c r="KNM5" s="138"/>
      <c r="KNN5" s="138"/>
      <c r="KNO5" s="138"/>
      <c r="KNP5" s="138"/>
      <c r="KNQ5" s="138"/>
      <c r="KNR5" s="138"/>
      <c r="KNS5" s="138"/>
      <c r="KNT5" s="138"/>
      <c r="KNU5" s="138"/>
      <c r="KNV5" s="138"/>
      <c r="KNW5" s="138"/>
      <c r="KNX5" s="138"/>
      <c r="KNY5" s="138"/>
      <c r="KNZ5" s="138"/>
      <c r="KOA5" s="138"/>
      <c r="KOB5" s="138"/>
      <c r="KOC5" s="138"/>
      <c r="KOD5" s="138"/>
      <c r="KOE5" s="138"/>
      <c r="KOF5" s="138"/>
      <c r="KOG5" s="138"/>
      <c r="KOH5" s="138"/>
      <c r="KOI5" s="138"/>
      <c r="KOJ5" s="138"/>
      <c r="KOK5" s="138"/>
      <c r="KOL5" s="138"/>
      <c r="KOM5" s="138"/>
      <c r="KON5" s="138"/>
      <c r="KOO5" s="138"/>
      <c r="KOP5" s="138"/>
      <c r="KOQ5" s="138"/>
      <c r="KOR5" s="138"/>
      <c r="KOS5" s="138"/>
      <c r="KOT5" s="138"/>
      <c r="KOU5" s="138"/>
      <c r="KOV5" s="138"/>
      <c r="KOW5" s="138"/>
      <c r="KOX5" s="138"/>
      <c r="KOY5" s="138"/>
      <c r="KOZ5" s="138"/>
      <c r="KPA5" s="138"/>
      <c r="KPB5" s="138"/>
      <c r="KPC5" s="138"/>
      <c r="KPD5" s="138"/>
      <c r="KPE5" s="138"/>
      <c r="KPF5" s="138"/>
      <c r="KPG5" s="138"/>
      <c r="KPH5" s="138"/>
      <c r="KPI5" s="138"/>
      <c r="KPJ5" s="138"/>
      <c r="KPK5" s="138"/>
      <c r="KPL5" s="138"/>
      <c r="KPM5" s="138"/>
      <c r="KPN5" s="138"/>
      <c r="KPO5" s="138"/>
      <c r="KPP5" s="138"/>
      <c r="KPQ5" s="138"/>
      <c r="KPR5" s="138"/>
      <c r="KPS5" s="138"/>
      <c r="KPT5" s="138"/>
      <c r="KPU5" s="138"/>
      <c r="KPV5" s="138"/>
      <c r="KPW5" s="138"/>
      <c r="KPX5" s="138"/>
      <c r="KPY5" s="138"/>
      <c r="KPZ5" s="138"/>
      <c r="KQA5" s="138"/>
      <c r="KQB5" s="138"/>
      <c r="KQC5" s="138"/>
      <c r="KQD5" s="138"/>
      <c r="KQE5" s="138"/>
      <c r="KQF5" s="138"/>
      <c r="KQG5" s="138"/>
      <c r="KQH5" s="138"/>
      <c r="KQI5" s="138"/>
      <c r="KQJ5" s="138"/>
      <c r="KQK5" s="138"/>
      <c r="KQL5" s="138"/>
      <c r="KQM5" s="138"/>
      <c r="KQN5" s="138"/>
      <c r="KQO5" s="138"/>
      <c r="KQP5" s="138"/>
      <c r="KQQ5" s="138"/>
      <c r="KQR5" s="138"/>
      <c r="KQS5" s="138"/>
      <c r="KQT5" s="138"/>
      <c r="KQU5" s="138"/>
      <c r="KQV5" s="138"/>
      <c r="KQW5" s="138"/>
      <c r="KQX5" s="138"/>
      <c r="KQY5" s="138"/>
      <c r="KQZ5" s="138"/>
      <c r="KRA5" s="138"/>
      <c r="KRB5" s="138"/>
      <c r="KRC5" s="138"/>
      <c r="KRD5" s="138"/>
      <c r="KRE5" s="138"/>
      <c r="KRF5" s="138"/>
      <c r="KRG5" s="138"/>
      <c r="KRH5" s="138"/>
      <c r="KRI5" s="138"/>
      <c r="KRJ5" s="138"/>
      <c r="KRK5" s="138"/>
      <c r="KRL5" s="138"/>
      <c r="KRM5" s="138"/>
      <c r="KRN5" s="138"/>
      <c r="KRO5" s="138"/>
      <c r="KRP5" s="138"/>
      <c r="KRQ5" s="138"/>
      <c r="KRR5" s="138"/>
      <c r="KRS5" s="138"/>
      <c r="KRT5" s="138"/>
      <c r="KRU5" s="138"/>
      <c r="KRV5" s="138"/>
      <c r="KRW5" s="138"/>
      <c r="KRX5" s="138"/>
      <c r="KRY5" s="138"/>
      <c r="KRZ5" s="138"/>
      <c r="KSA5" s="138"/>
      <c r="KSB5" s="138"/>
      <c r="KSC5" s="138"/>
      <c r="KSD5" s="138"/>
      <c r="KSE5" s="138"/>
      <c r="KSF5" s="138"/>
      <c r="KSG5" s="138"/>
      <c r="KSH5" s="138"/>
      <c r="KSI5" s="138"/>
      <c r="KSJ5" s="138"/>
      <c r="KSK5" s="138"/>
      <c r="KSL5" s="138"/>
      <c r="KSM5" s="138"/>
      <c r="KSN5" s="138"/>
      <c r="KSO5" s="138"/>
      <c r="KSP5" s="138"/>
      <c r="KSQ5" s="138"/>
      <c r="KSR5" s="138"/>
      <c r="KSS5" s="138"/>
      <c r="KST5" s="138"/>
      <c r="KSU5" s="138"/>
      <c r="KSV5" s="138"/>
      <c r="KSW5" s="138"/>
      <c r="KSX5" s="138"/>
      <c r="KSY5" s="138"/>
      <c r="KSZ5" s="138"/>
      <c r="KTA5" s="138"/>
      <c r="KTB5" s="138"/>
      <c r="KTC5" s="138"/>
      <c r="KTD5" s="138"/>
      <c r="KTE5" s="138"/>
      <c r="KTF5" s="138"/>
      <c r="KTG5" s="138"/>
      <c r="KTH5" s="138"/>
      <c r="KTI5" s="138"/>
      <c r="KTJ5" s="138"/>
      <c r="KTK5" s="138"/>
      <c r="KTL5" s="138"/>
      <c r="KTM5" s="138"/>
      <c r="KTN5" s="138"/>
      <c r="KTO5" s="138"/>
      <c r="KTP5" s="138"/>
      <c r="KTQ5" s="138"/>
      <c r="KTR5" s="138"/>
      <c r="KTS5" s="138"/>
      <c r="KTT5" s="138"/>
      <c r="KTU5" s="138"/>
      <c r="KTV5" s="138"/>
      <c r="KTW5" s="138"/>
      <c r="KTX5" s="138"/>
      <c r="KTY5" s="138"/>
      <c r="KTZ5" s="138"/>
      <c r="KUA5" s="138"/>
      <c r="KUB5" s="138"/>
      <c r="KUC5" s="138"/>
      <c r="KUD5" s="138"/>
      <c r="KUE5" s="138"/>
      <c r="KUF5" s="138"/>
      <c r="KUG5" s="138"/>
      <c r="KUH5" s="138"/>
      <c r="KUI5" s="138"/>
      <c r="KUJ5" s="138"/>
      <c r="KUK5" s="138"/>
      <c r="KUL5" s="138"/>
      <c r="KUM5" s="138"/>
      <c r="KUN5" s="138"/>
      <c r="KUO5" s="138"/>
      <c r="KUP5" s="138"/>
      <c r="KUQ5" s="138"/>
      <c r="KUR5" s="138"/>
      <c r="KUS5" s="138"/>
      <c r="KUT5" s="138"/>
      <c r="KUU5" s="138"/>
      <c r="KUV5" s="138"/>
      <c r="KUW5" s="138"/>
      <c r="KUX5" s="138"/>
      <c r="KUY5" s="138"/>
      <c r="KUZ5" s="138"/>
      <c r="KVA5" s="138"/>
      <c r="KVB5" s="138"/>
      <c r="KVC5" s="138"/>
      <c r="KVD5" s="138"/>
      <c r="KVE5" s="138"/>
      <c r="KVF5" s="138"/>
      <c r="KVG5" s="138"/>
      <c r="KVH5" s="138"/>
      <c r="KVI5" s="138"/>
      <c r="KVJ5" s="138"/>
      <c r="KVK5" s="138"/>
      <c r="KVL5" s="138"/>
      <c r="KVM5" s="138"/>
      <c r="KVN5" s="138"/>
      <c r="KVO5" s="138"/>
      <c r="KVP5" s="138"/>
      <c r="KVQ5" s="138"/>
      <c r="KVR5" s="138"/>
      <c r="KVS5" s="138"/>
      <c r="KVT5" s="138"/>
      <c r="KVU5" s="138"/>
      <c r="KVV5" s="138"/>
      <c r="KVW5" s="138"/>
      <c r="KVX5" s="138"/>
      <c r="KVY5" s="138"/>
      <c r="KVZ5" s="138"/>
      <c r="KWA5" s="138"/>
      <c r="KWB5" s="138"/>
      <c r="KWC5" s="138"/>
      <c r="KWD5" s="138"/>
      <c r="KWE5" s="138"/>
      <c r="KWF5" s="138"/>
      <c r="KWG5" s="138"/>
      <c r="KWH5" s="138"/>
      <c r="KWI5" s="138"/>
      <c r="KWJ5" s="138"/>
      <c r="KWK5" s="138"/>
      <c r="KWL5" s="138"/>
      <c r="KWM5" s="138"/>
      <c r="KWN5" s="138"/>
      <c r="KWO5" s="138"/>
      <c r="KWP5" s="138"/>
      <c r="KWQ5" s="138"/>
      <c r="KWR5" s="138"/>
      <c r="KWS5" s="138"/>
      <c r="KWT5" s="138"/>
      <c r="KWU5" s="138"/>
      <c r="KWV5" s="138"/>
      <c r="KWW5" s="138"/>
      <c r="KWX5" s="138"/>
      <c r="KWY5" s="138"/>
      <c r="KWZ5" s="138"/>
      <c r="KXA5" s="138"/>
      <c r="KXB5" s="138"/>
      <c r="KXC5" s="138"/>
      <c r="KXD5" s="138"/>
      <c r="KXE5" s="138"/>
      <c r="KXF5" s="138"/>
      <c r="KXG5" s="138"/>
      <c r="KXH5" s="138"/>
      <c r="KXI5" s="138"/>
      <c r="KXJ5" s="138"/>
      <c r="KXK5" s="138"/>
      <c r="KXL5" s="138"/>
      <c r="KXM5" s="138"/>
      <c r="KXN5" s="138"/>
      <c r="KXO5" s="138"/>
      <c r="KXP5" s="138"/>
      <c r="KXQ5" s="138"/>
      <c r="KXR5" s="138"/>
      <c r="KXS5" s="138"/>
      <c r="KXT5" s="138"/>
      <c r="KXU5" s="138"/>
      <c r="KXV5" s="138"/>
      <c r="KXW5" s="138"/>
      <c r="KXX5" s="138"/>
      <c r="KXY5" s="138"/>
      <c r="KXZ5" s="138"/>
      <c r="KYA5" s="138"/>
      <c r="KYB5" s="138"/>
      <c r="KYC5" s="138"/>
      <c r="KYD5" s="138"/>
      <c r="KYE5" s="138"/>
      <c r="KYF5" s="138"/>
      <c r="KYG5" s="138"/>
      <c r="KYH5" s="138"/>
      <c r="KYI5" s="138"/>
      <c r="KYJ5" s="138"/>
      <c r="KYK5" s="138"/>
      <c r="KYL5" s="138"/>
      <c r="KYM5" s="138"/>
      <c r="KYN5" s="138"/>
      <c r="KYO5" s="138"/>
      <c r="KYP5" s="138"/>
      <c r="KYQ5" s="138"/>
      <c r="KYR5" s="138"/>
      <c r="KYS5" s="138"/>
      <c r="KYT5" s="138"/>
      <c r="KYU5" s="138"/>
      <c r="KYV5" s="138"/>
      <c r="KYW5" s="138"/>
      <c r="KYX5" s="138"/>
      <c r="KYY5" s="138"/>
      <c r="KYZ5" s="138"/>
      <c r="KZA5" s="138"/>
      <c r="KZB5" s="138"/>
      <c r="KZC5" s="138"/>
      <c r="KZD5" s="138"/>
      <c r="KZE5" s="138"/>
      <c r="KZF5" s="138"/>
      <c r="KZG5" s="138"/>
      <c r="KZH5" s="138"/>
      <c r="KZI5" s="138"/>
      <c r="KZJ5" s="138"/>
      <c r="KZK5" s="138"/>
      <c r="KZL5" s="138"/>
      <c r="KZM5" s="138"/>
      <c r="KZN5" s="138"/>
      <c r="KZO5" s="138"/>
      <c r="KZP5" s="138"/>
      <c r="KZQ5" s="138"/>
      <c r="KZR5" s="138"/>
      <c r="KZS5" s="138"/>
      <c r="KZT5" s="138"/>
      <c r="KZU5" s="138"/>
      <c r="KZV5" s="138"/>
      <c r="KZW5" s="138"/>
      <c r="KZX5" s="138"/>
      <c r="KZY5" s="138"/>
      <c r="KZZ5" s="138"/>
      <c r="LAA5" s="138"/>
      <c r="LAB5" s="138"/>
      <c r="LAC5" s="138"/>
      <c r="LAD5" s="138"/>
      <c r="LAE5" s="138"/>
      <c r="LAF5" s="138"/>
      <c r="LAG5" s="138"/>
      <c r="LAH5" s="138"/>
      <c r="LAI5" s="138"/>
      <c r="LAJ5" s="138"/>
      <c r="LAK5" s="138"/>
      <c r="LAL5" s="138"/>
      <c r="LAM5" s="138"/>
      <c r="LAN5" s="138"/>
      <c r="LAO5" s="138"/>
      <c r="LAP5" s="138"/>
      <c r="LAQ5" s="138"/>
      <c r="LAR5" s="138"/>
      <c r="LAS5" s="138"/>
      <c r="LAT5" s="138"/>
      <c r="LAU5" s="138"/>
      <c r="LAV5" s="138"/>
      <c r="LAW5" s="138"/>
      <c r="LAX5" s="138"/>
      <c r="LAY5" s="138"/>
      <c r="LAZ5" s="138"/>
      <c r="LBA5" s="138"/>
      <c r="LBB5" s="138"/>
      <c r="LBC5" s="138"/>
      <c r="LBD5" s="138"/>
      <c r="LBE5" s="138"/>
      <c r="LBF5" s="138"/>
      <c r="LBG5" s="138"/>
      <c r="LBH5" s="138"/>
      <c r="LBI5" s="138"/>
      <c r="LBJ5" s="138"/>
      <c r="LBK5" s="138"/>
      <c r="LBL5" s="138"/>
      <c r="LBM5" s="138"/>
      <c r="LBN5" s="138"/>
      <c r="LBO5" s="138"/>
      <c r="LBP5" s="138"/>
      <c r="LBQ5" s="138"/>
      <c r="LBR5" s="138"/>
      <c r="LBS5" s="138"/>
      <c r="LBT5" s="138"/>
      <c r="LBU5" s="138"/>
      <c r="LBV5" s="138"/>
      <c r="LBW5" s="138"/>
      <c r="LBX5" s="138"/>
      <c r="LBY5" s="138"/>
      <c r="LBZ5" s="138"/>
      <c r="LCA5" s="138"/>
      <c r="LCB5" s="138"/>
      <c r="LCC5" s="138"/>
      <c r="LCD5" s="138"/>
      <c r="LCE5" s="138"/>
      <c r="LCF5" s="138"/>
      <c r="LCG5" s="138"/>
      <c r="LCH5" s="138"/>
      <c r="LCI5" s="138"/>
      <c r="LCJ5" s="138"/>
      <c r="LCK5" s="138"/>
      <c r="LCL5" s="138"/>
      <c r="LCM5" s="138"/>
      <c r="LCN5" s="138"/>
      <c r="LCO5" s="138"/>
      <c r="LCP5" s="138"/>
      <c r="LCQ5" s="138"/>
      <c r="LCR5" s="138"/>
      <c r="LCS5" s="138"/>
      <c r="LCT5" s="138"/>
      <c r="LCU5" s="138"/>
      <c r="LCV5" s="138"/>
      <c r="LCW5" s="138"/>
      <c r="LCX5" s="138"/>
      <c r="LCY5" s="138"/>
      <c r="LCZ5" s="138"/>
      <c r="LDA5" s="138"/>
      <c r="LDB5" s="138"/>
      <c r="LDC5" s="138"/>
      <c r="LDD5" s="138"/>
      <c r="LDE5" s="138"/>
      <c r="LDF5" s="138"/>
      <c r="LDG5" s="138"/>
      <c r="LDH5" s="138"/>
      <c r="LDI5" s="138"/>
      <c r="LDJ5" s="138"/>
      <c r="LDK5" s="138"/>
      <c r="LDL5" s="138"/>
      <c r="LDM5" s="138"/>
      <c r="LDN5" s="138"/>
      <c r="LDO5" s="138"/>
      <c r="LDP5" s="138"/>
      <c r="LDQ5" s="138"/>
      <c r="LDR5" s="138"/>
      <c r="LDS5" s="138"/>
      <c r="LDT5" s="138"/>
      <c r="LDU5" s="138"/>
      <c r="LDV5" s="138"/>
      <c r="LDW5" s="138"/>
      <c r="LDX5" s="138"/>
      <c r="LDY5" s="138"/>
      <c r="LDZ5" s="138"/>
      <c r="LEA5" s="138"/>
      <c r="LEB5" s="138"/>
      <c r="LEC5" s="138"/>
      <c r="LED5" s="138"/>
      <c r="LEE5" s="138"/>
      <c r="LEF5" s="138"/>
      <c r="LEG5" s="138"/>
      <c r="LEH5" s="138"/>
      <c r="LEI5" s="138"/>
      <c r="LEJ5" s="138"/>
      <c r="LEK5" s="138"/>
      <c r="LEL5" s="138"/>
      <c r="LEM5" s="138"/>
      <c r="LEN5" s="138"/>
      <c r="LEO5" s="138"/>
      <c r="LEP5" s="138"/>
      <c r="LEQ5" s="138"/>
      <c r="LER5" s="138"/>
      <c r="LES5" s="138"/>
      <c r="LET5" s="138"/>
      <c r="LEU5" s="138"/>
      <c r="LEV5" s="138"/>
      <c r="LEW5" s="138"/>
      <c r="LEX5" s="138"/>
      <c r="LEY5" s="138"/>
      <c r="LEZ5" s="138"/>
      <c r="LFA5" s="138"/>
      <c r="LFB5" s="138"/>
      <c r="LFC5" s="138"/>
      <c r="LFD5" s="138"/>
      <c r="LFE5" s="138"/>
      <c r="LFF5" s="138"/>
      <c r="LFG5" s="138"/>
      <c r="LFH5" s="138"/>
      <c r="LFI5" s="138"/>
      <c r="LFJ5" s="138"/>
      <c r="LFK5" s="138"/>
      <c r="LFL5" s="138"/>
      <c r="LFM5" s="138"/>
      <c r="LFN5" s="138"/>
      <c r="LFO5" s="138"/>
      <c r="LFP5" s="138"/>
      <c r="LFQ5" s="138"/>
      <c r="LFR5" s="138"/>
      <c r="LFS5" s="138"/>
      <c r="LFT5" s="138"/>
      <c r="LFU5" s="138"/>
      <c r="LFV5" s="138"/>
      <c r="LFW5" s="138"/>
      <c r="LFX5" s="138"/>
      <c r="LFY5" s="138"/>
      <c r="LFZ5" s="138"/>
      <c r="LGA5" s="138"/>
      <c r="LGB5" s="138"/>
      <c r="LGC5" s="138"/>
      <c r="LGD5" s="138"/>
      <c r="LGE5" s="138"/>
      <c r="LGF5" s="138"/>
      <c r="LGG5" s="138"/>
      <c r="LGH5" s="138"/>
      <c r="LGI5" s="138"/>
      <c r="LGJ5" s="138"/>
      <c r="LGK5" s="138"/>
      <c r="LGL5" s="138"/>
      <c r="LGM5" s="138"/>
      <c r="LGN5" s="138"/>
      <c r="LGO5" s="138"/>
      <c r="LGP5" s="138"/>
      <c r="LGQ5" s="138"/>
      <c r="LGR5" s="138"/>
      <c r="LGS5" s="138"/>
      <c r="LGT5" s="138"/>
      <c r="LGU5" s="138"/>
      <c r="LGV5" s="138"/>
      <c r="LGW5" s="138"/>
      <c r="LGX5" s="138"/>
      <c r="LGY5" s="138"/>
      <c r="LGZ5" s="138"/>
      <c r="LHA5" s="138"/>
      <c r="LHB5" s="138"/>
      <c r="LHC5" s="138"/>
      <c r="LHD5" s="138"/>
      <c r="LHE5" s="138"/>
      <c r="LHF5" s="138"/>
      <c r="LHG5" s="138"/>
      <c r="LHH5" s="138"/>
      <c r="LHI5" s="138"/>
      <c r="LHJ5" s="138"/>
      <c r="LHK5" s="138"/>
      <c r="LHL5" s="138"/>
      <c r="LHM5" s="138"/>
      <c r="LHN5" s="138"/>
      <c r="LHO5" s="138"/>
      <c r="LHP5" s="138"/>
      <c r="LHQ5" s="138"/>
      <c r="LHR5" s="138"/>
      <c r="LHS5" s="138"/>
      <c r="LHT5" s="138"/>
      <c r="LHU5" s="138"/>
      <c r="LHV5" s="138"/>
      <c r="LHW5" s="138"/>
      <c r="LHX5" s="138"/>
      <c r="LHY5" s="138"/>
      <c r="LHZ5" s="138"/>
      <c r="LIA5" s="138"/>
      <c r="LIB5" s="138"/>
      <c r="LIC5" s="138"/>
      <c r="LID5" s="138"/>
      <c r="LIE5" s="138"/>
      <c r="LIF5" s="138"/>
      <c r="LIG5" s="138"/>
      <c r="LIH5" s="138"/>
      <c r="LII5" s="138"/>
      <c r="LIJ5" s="138"/>
      <c r="LIK5" s="138"/>
      <c r="LIL5" s="138"/>
      <c r="LIM5" s="138"/>
      <c r="LIN5" s="138"/>
      <c r="LIO5" s="138"/>
      <c r="LIP5" s="138"/>
      <c r="LIQ5" s="138"/>
      <c r="LIR5" s="138"/>
      <c r="LIS5" s="138"/>
      <c r="LIT5" s="138"/>
      <c r="LIU5" s="138"/>
      <c r="LIV5" s="138"/>
      <c r="LIW5" s="138"/>
      <c r="LIX5" s="138"/>
      <c r="LIY5" s="138"/>
      <c r="LIZ5" s="138"/>
      <c r="LJA5" s="138"/>
      <c r="LJB5" s="138"/>
      <c r="LJC5" s="138"/>
      <c r="LJD5" s="138"/>
      <c r="LJE5" s="138"/>
      <c r="LJF5" s="138"/>
      <c r="LJG5" s="138"/>
      <c r="LJH5" s="138"/>
      <c r="LJI5" s="138"/>
      <c r="LJJ5" s="138"/>
      <c r="LJK5" s="138"/>
      <c r="LJL5" s="138"/>
      <c r="LJM5" s="138"/>
      <c r="LJN5" s="138"/>
      <c r="LJO5" s="138"/>
      <c r="LJP5" s="138"/>
      <c r="LJQ5" s="138"/>
      <c r="LJR5" s="138"/>
      <c r="LJS5" s="138"/>
      <c r="LJT5" s="138"/>
      <c r="LJU5" s="138"/>
      <c r="LJV5" s="138"/>
      <c r="LJW5" s="138"/>
      <c r="LJX5" s="138"/>
      <c r="LJY5" s="138"/>
      <c r="LJZ5" s="138"/>
      <c r="LKA5" s="138"/>
      <c r="LKB5" s="138"/>
      <c r="LKC5" s="138"/>
      <c r="LKD5" s="138"/>
      <c r="LKE5" s="138"/>
      <c r="LKF5" s="138"/>
      <c r="LKG5" s="138"/>
      <c r="LKH5" s="138"/>
      <c r="LKI5" s="138"/>
      <c r="LKJ5" s="138"/>
      <c r="LKK5" s="138"/>
      <c r="LKL5" s="138"/>
      <c r="LKM5" s="138"/>
      <c r="LKN5" s="138"/>
      <c r="LKO5" s="138"/>
      <c r="LKP5" s="138"/>
      <c r="LKQ5" s="138"/>
      <c r="LKR5" s="138"/>
      <c r="LKS5" s="138"/>
      <c r="LKT5" s="138"/>
      <c r="LKU5" s="138"/>
      <c r="LKV5" s="138"/>
      <c r="LKW5" s="138"/>
      <c r="LKX5" s="138"/>
      <c r="LKY5" s="138"/>
      <c r="LKZ5" s="138"/>
      <c r="LLA5" s="138"/>
      <c r="LLB5" s="138"/>
      <c r="LLC5" s="138"/>
      <c r="LLD5" s="138"/>
      <c r="LLE5" s="138"/>
      <c r="LLF5" s="138"/>
      <c r="LLG5" s="138"/>
      <c r="LLH5" s="138"/>
      <c r="LLI5" s="138"/>
      <c r="LLJ5" s="138"/>
      <c r="LLK5" s="138"/>
      <c r="LLL5" s="138"/>
      <c r="LLM5" s="138"/>
      <c r="LLN5" s="138"/>
      <c r="LLO5" s="138"/>
      <c r="LLP5" s="138"/>
      <c r="LLQ5" s="138"/>
      <c r="LLR5" s="138"/>
      <c r="LLS5" s="138"/>
      <c r="LLT5" s="138"/>
      <c r="LLU5" s="138"/>
      <c r="LLV5" s="138"/>
      <c r="LLW5" s="138"/>
      <c r="LLX5" s="138"/>
      <c r="LLY5" s="138"/>
      <c r="LLZ5" s="138"/>
      <c r="LMA5" s="138"/>
      <c r="LMB5" s="138"/>
      <c r="LMC5" s="138"/>
      <c r="LMD5" s="138"/>
      <c r="LME5" s="138"/>
      <c r="LMF5" s="138"/>
      <c r="LMG5" s="138"/>
      <c r="LMH5" s="138"/>
      <c r="LMI5" s="138"/>
      <c r="LMJ5" s="138"/>
      <c r="LMK5" s="138"/>
      <c r="LML5" s="138"/>
      <c r="LMM5" s="138"/>
      <c r="LMN5" s="138"/>
      <c r="LMO5" s="138"/>
      <c r="LMP5" s="138"/>
      <c r="LMQ5" s="138"/>
      <c r="LMR5" s="138"/>
      <c r="LMS5" s="138"/>
      <c r="LMT5" s="138"/>
      <c r="LMU5" s="138"/>
      <c r="LMV5" s="138"/>
      <c r="LMW5" s="138"/>
      <c r="LMX5" s="138"/>
      <c r="LMY5" s="138"/>
      <c r="LMZ5" s="138"/>
      <c r="LNA5" s="138"/>
      <c r="LNB5" s="138"/>
      <c r="LNC5" s="138"/>
      <c r="LND5" s="138"/>
      <c r="LNE5" s="138"/>
      <c r="LNF5" s="138"/>
      <c r="LNG5" s="138"/>
      <c r="LNH5" s="138"/>
      <c r="LNI5" s="138"/>
      <c r="LNJ5" s="138"/>
      <c r="LNK5" s="138"/>
      <c r="LNL5" s="138"/>
      <c r="LNM5" s="138"/>
      <c r="LNN5" s="138"/>
      <c r="LNO5" s="138"/>
      <c r="LNP5" s="138"/>
      <c r="LNQ5" s="138"/>
      <c r="LNR5" s="138"/>
      <c r="LNS5" s="138"/>
      <c r="LNT5" s="138"/>
      <c r="LNU5" s="138"/>
      <c r="LNV5" s="138"/>
      <c r="LNW5" s="138"/>
      <c r="LNX5" s="138"/>
      <c r="LNY5" s="138"/>
      <c r="LNZ5" s="138"/>
      <c r="LOA5" s="138"/>
      <c r="LOB5" s="138"/>
      <c r="LOC5" s="138"/>
      <c r="LOD5" s="138"/>
      <c r="LOE5" s="138"/>
      <c r="LOF5" s="138"/>
      <c r="LOG5" s="138"/>
      <c r="LOH5" s="138"/>
      <c r="LOI5" s="138"/>
      <c r="LOJ5" s="138"/>
      <c r="LOK5" s="138"/>
      <c r="LOL5" s="138"/>
      <c r="LOM5" s="138"/>
      <c r="LON5" s="138"/>
      <c r="LOO5" s="138"/>
      <c r="LOP5" s="138"/>
      <c r="LOQ5" s="138"/>
      <c r="LOR5" s="138"/>
      <c r="LOS5" s="138"/>
      <c r="LOT5" s="138"/>
      <c r="LOU5" s="138"/>
      <c r="LOV5" s="138"/>
      <c r="LOW5" s="138"/>
      <c r="LOX5" s="138"/>
      <c r="LOY5" s="138"/>
      <c r="LOZ5" s="138"/>
      <c r="LPA5" s="138"/>
      <c r="LPB5" s="138"/>
      <c r="LPC5" s="138"/>
      <c r="LPD5" s="138"/>
      <c r="LPE5" s="138"/>
      <c r="LPF5" s="138"/>
      <c r="LPG5" s="138"/>
      <c r="LPH5" s="138"/>
      <c r="LPI5" s="138"/>
      <c r="LPJ5" s="138"/>
      <c r="LPK5" s="138"/>
      <c r="LPL5" s="138"/>
      <c r="LPM5" s="138"/>
      <c r="LPN5" s="138"/>
      <c r="LPO5" s="138"/>
      <c r="LPP5" s="138"/>
      <c r="LPQ5" s="138"/>
      <c r="LPR5" s="138"/>
      <c r="LPS5" s="138"/>
      <c r="LPT5" s="138"/>
      <c r="LPU5" s="138"/>
      <c r="LPV5" s="138"/>
      <c r="LPW5" s="138"/>
      <c r="LPX5" s="138"/>
      <c r="LPY5" s="138"/>
      <c r="LPZ5" s="138"/>
      <c r="LQA5" s="138"/>
      <c r="LQB5" s="138"/>
      <c r="LQC5" s="138"/>
      <c r="LQD5" s="138"/>
      <c r="LQE5" s="138"/>
      <c r="LQF5" s="138"/>
      <c r="LQG5" s="138"/>
      <c r="LQH5" s="138"/>
      <c r="LQI5" s="138"/>
      <c r="LQJ5" s="138"/>
      <c r="LQK5" s="138"/>
      <c r="LQL5" s="138"/>
      <c r="LQM5" s="138"/>
      <c r="LQN5" s="138"/>
      <c r="LQO5" s="138"/>
      <c r="LQP5" s="138"/>
      <c r="LQQ5" s="138"/>
      <c r="LQR5" s="138"/>
      <c r="LQS5" s="138"/>
      <c r="LQT5" s="138"/>
      <c r="LQU5" s="138"/>
      <c r="LQV5" s="138"/>
      <c r="LQW5" s="138"/>
      <c r="LQX5" s="138"/>
      <c r="LQY5" s="138"/>
      <c r="LQZ5" s="138"/>
      <c r="LRA5" s="138"/>
      <c r="LRB5" s="138"/>
      <c r="LRC5" s="138"/>
      <c r="LRD5" s="138"/>
      <c r="LRE5" s="138"/>
      <c r="LRF5" s="138"/>
      <c r="LRG5" s="138"/>
      <c r="LRH5" s="138"/>
      <c r="LRI5" s="138"/>
      <c r="LRJ5" s="138"/>
      <c r="LRK5" s="138"/>
      <c r="LRL5" s="138"/>
      <c r="LRM5" s="138"/>
      <c r="LRN5" s="138"/>
      <c r="LRO5" s="138"/>
      <c r="LRP5" s="138"/>
      <c r="LRQ5" s="138"/>
      <c r="LRR5" s="138"/>
      <c r="LRS5" s="138"/>
      <c r="LRT5" s="138"/>
      <c r="LRU5" s="138"/>
      <c r="LRV5" s="138"/>
      <c r="LRW5" s="138"/>
      <c r="LRX5" s="138"/>
      <c r="LRY5" s="138"/>
      <c r="LRZ5" s="138"/>
      <c r="LSA5" s="138"/>
      <c r="LSB5" s="138"/>
      <c r="LSC5" s="138"/>
      <c r="LSD5" s="138"/>
      <c r="LSE5" s="138"/>
      <c r="LSF5" s="138"/>
      <c r="LSG5" s="138"/>
      <c r="LSH5" s="138"/>
      <c r="LSI5" s="138"/>
      <c r="LSJ5" s="138"/>
      <c r="LSK5" s="138"/>
      <c r="LSL5" s="138"/>
      <c r="LSM5" s="138"/>
      <c r="LSN5" s="138"/>
      <c r="LSO5" s="138"/>
      <c r="LSP5" s="138"/>
      <c r="LSQ5" s="138"/>
      <c r="LSR5" s="138"/>
      <c r="LSS5" s="138"/>
      <c r="LST5" s="138"/>
      <c r="LSU5" s="138"/>
      <c r="LSV5" s="138"/>
      <c r="LSW5" s="138"/>
      <c r="LSX5" s="138"/>
      <c r="LSY5" s="138"/>
      <c r="LSZ5" s="138"/>
      <c r="LTA5" s="138"/>
      <c r="LTB5" s="138"/>
      <c r="LTC5" s="138"/>
      <c r="LTD5" s="138"/>
      <c r="LTE5" s="138"/>
      <c r="LTF5" s="138"/>
      <c r="LTG5" s="138"/>
      <c r="LTH5" s="138"/>
      <c r="LTI5" s="138"/>
      <c r="LTJ5" s="138"/>
      <c r="LTK5" s="138"/>
      <c r="LTL5" s="138"/>
      <c r="LTM5" s="138"/>
      <c r="LTN5" s="138"/>
      <c r="LTO5" s="138"/>
      <c r="LTP5" s="138"/>
      <c r="LTQ5" s="138"/>
      <c r="LTR5" s="138"/>
      <c r="LTS5" s="138"/>
      <c r="LTT5" s="138"/>
      <c r="LTU5" s="138"/>
      <c r="LTV5" s="138"/>
      <c r="LTW5" s="138"/>
      <c r="LTX5" s="138"/>
      <c r="LTY5" s="138"/>
      <c r="LTZ5" s="138"/>
      <c r="LUA5" s="138"/>
      <c r="LUB5" s="138"/>
      <c r="LUC5" s="138"/>
      <c r="LUD5" s="138"/>
      <c r="LUE5" s="138"/>
      <c r="LUF5" s="138"/>
      <c r="LUG5" s="138"/>
      <c r="LUH5" s="138"/>
      <c r="LUI5" s="138"/>
      <c r="LUJ5" s="138"/>
      <c r="LUK5" s="138"/>
      <c r="LUL5" s="138"/>
      <c r="LUM5" s="138"/>
      <c r="LUN5" s="138"/>
      <c r="LUO5" s="138"/>
      <c r="LUP5" s="138"/>
      <c r="LUQ5" s="138"/>
      <c r="LUR5" s="138"/>
      <c r="LUS5" s="138"/>
      <c r="LUT5" s="138"/>
      <c r="LUU5" s="138"/>
      <c r="LUV5" s="138"/>
      <c r="LUW5" s="138"/>
      <c r="LUX5" s="138"/>
      <c r="LUY5" s="138"/>
      <c r="LUZ5" s="138"/>
      <c r="LVA5" s="138"/>
      <c r="LVB5" s="138"/>
      <c r="LVC5" s="138"/>
      <c r="LVD5" s="138"/>
      <c r="LVE5" s="138"/>
      <c r="LVF5" s="138"/>
      <c r="LVG5" s="138"/>
      <c r="LVH5" s="138"/>
      <c r="LVI5" s="138"/>
      <c r="LVJ5" s="138"/>
      <c r="LVK5" s="138"/>
      <c r="LVL5" s="138"/>
      <c r="LVM5" s="138"/>
      <c r="LVN5" s="138"/>
      <c r="LVO5" s="138"/>
      <c r="LVP5" s="138"/>
      <c r="LVQ5" s="138"/>
      <c r="LVR5" s="138"/>
      <c r="LVS5" s="138"/>
      <c r="LVT5" s="138"/>
      <c r="LVU5" s="138"/>
      <c r="LVV5" s="138"/>
      <c r="LVW5" s="138"/>
      <c r="LVX5" s="138"/>
      <c r="LVY5" s="138"/>
      <c r="LVZ5" s="138"/>
      <c r="LWA5" s="138"/>
      <c r="LWB5" s="138"/>
      <c r="LWC5" s="138"/>
      <c r="LWD5" s="138"/>
      <c r="LWE5" s="138"/>
      <c r="LWF5" s="138"/>
      <c r="LWG5" s="138"/>
      <c r="LWH5" s="138"/>
      <c r="LWI5" s="138"/>
      <c r="LWJ5" s="138"/>
      <c r="LWK5" s="138"/>
      <c r="LWL5" s="138"/>
      <c r="LWM5" s="138"/>
      <c r="LWN5" s="138"/>
      <c r="LWO5" s="138"/>
      <c r="LWP5" s="138"/>
      <c r="LWQ5" s="138"/>
      <c r="LWR5" s="138"/>
      <c r="LWS5" s="138"/>
      <c r="LWT5" s="138"/>
      <c r="LWU5" s="138"/>
      <c r="LWV5" s="138"/>
      <c r="LWW5" s="138"/>
      <c r="LWX5" s="138"/>
      <c r="LWY5" s="138"/>
      <c r="LWZ5" s="138"/>
      <c r="LXA5" s="138"/>
      <c r="LXB5" s="138"/>
      <c r="LXC5" s="138"/>
      <c r="LXD5" s="138"/>
      <c r="LXE5" s="138"/>
      <c r="LXF5" s="138"/>
      <c r="LXG5" s="138"/>
      <c r="LXH5" s="138"/>
      <c r="LXI5" s="138"/>
      <c r="LXJ5" s="138"/>
      <c r="LXK5" s="138"/>
      <c r="LXL5" s="138"/>
      <c r="LXM5" s="138"/>
      <c r="LXN5" s="138"/>
      <c r="LXO5" s="138"/>
      <c r="LXP5" s="138"/>
      <c r="LXQ5" s="138"/>
      <c r="LXR5" s="138"/>
      <c r="LXS5" s="138"/>
      <c r="LXT5" s="138"/>
      <c r="LXU5" s="138"/>
      <c r="LXV5" s="138"/>
      <c r="LXW5" s="138"/>
      <c r="LXX5" s="138"/>
      <c r="LXY5" s="138"/>
      <c r="LXZ5" s="138"/>
      <c r="LYA5" s="138"/>
      <c r="LYB5" s="138"/>
      <c r="LYC5" s="138"/>
      <c r="LYD5" s="138"/>
      <c r="LYE5" s="138"/>
      <c r="LYF5" s="138"/>
      <c r="LYG5" s="138"/>
      <c r="LYH5" s="138"/>
      <c r="LYI5" s="138"/>
      <c r="LYJ5" s="138"/>
      <c r="LYK5" s="138"/>
      <c r="LYL5" s="138"/>
      <c r="LYM5" s="138"/>
      <c r="LYN5" s="138"/>
      <c r="LYO5" s="138"/>
      <c r="LYP5" s="138"/>
      <c r="LYQ5" s="138"/>
      <c r="LYR5" s="138"/>
      <c r="LYS5" s="138"/>
      <c r="LYT5" s="138"/>
      <c r="LYU5" s="138"/>
      <c r="LYV5" s="138"/>
      <c r="LYW5" s="138"/>
      <c r="LYX5" s="138"/>
      <c r="LYY5" s="138"/>
      <c r="LYZ5" s="138"/>
      <c r="LZA5" s="138"/>
      <c r="LZB5" s="138"/>
      <c r="LZC5" s="138"/>
      <c r="LZD5" s="138"/>
      <c r="LZE5" s="138"/>
      <c r="LZF5" s="138"/>
      <c r="LZG5" s="138"/>
      <c r="LZH5" s="138"/>
      <c r="LZI5" s="138"/>
      <c r="LZJ5" s="138"/>
      <c r="LZK5" s="138"/>
      <c r="LZL5" s="138"/>
      <c r="LZM5" s="138"/>
      <c r="LZN5" s="138"/>
      <c r="LZO5" s="138"/>
      <c r="LZP5" s="138"/>
      <c r="LZQ5" s="138"/>
      <c r="LZR5" s="138"/>
      <c r="LZS5" s="138"/>
      <c r="LZT5" s="138"/>
      <c r="LZU5" s="138"/>
      <c r="LZV5" s="138"/>
      <c r="LZW5" s="138"/>
      <c r="LZX5" s="138"/>
      <c r="LZY5" s="138"/>
      <c r="LZZ5" s="138"/>
      <c r="MAA5" s="138"/>
      <c r="MAB5" s="138"/>
      <c r="MAC5" s="138"/>
      <c r="MAD5" s="138"/>
      <c r="MAE5" s="138"/>
      <c r="MAF5" s="138"/>
      <c r="MAG5" s="138"/>
      <c r="MAH5" s="138"/>
      <c r="MAI5" s="138"/>
      <c r="MAJ5" s="138"/>
      <c r="MAK5" s="138"/>
      <c r="MAL5" s="138"/>
      <c r="MAM5" s="138"/>
      <c r="MAN5" s="138"/>
      <c r="MAO5" s="138"/>
      <c r="MAP5" s="138"/>
      <c r="MAQ5" s="138"/>
      <c r="MAR5" s="138"/>
      <c r="MAS5" s="138"/>
      <c r="MAT5" s="138"/>
      <c r="MAU5" s="138"/>
      <c r="MAV5" s="138"/>
      <c r="MAW5" s="138"/>
      <c r="MAX5" s="138"/>
      <c r="MAY5" s="138"/>
      <c r="MAZ5" s="138"/>
      <c r="MBA5" s="138"/>
      <c r="MBB5" s="138"/>
      <c r="MBC5" s="138"/>
      <c r="MBD5" s="138"/>
      <c r="MBE5" s="138"/>
      <c r="MBF5" s="138"/>
      <c r="MBG5" s="138"/>
      <c r="MBH5" s="138"/>
      <c r="MBI5" s="138"/>
      <c r="MBJ5" s="138"/>
      <c r="MBK5" s="138"/>
      <c r="MBL5" s="138"/>
      <c r="MBM5" s="138"/>
      <c r="MBN5" s="138"/>
      <c r="MBO5" s="138"/>
      <c r="MBP5" s="138"/>
      <c r="MBQ5" s="138"/>
      <c r="MBR5" s="138"/>
      <c r="MBS5" s="138"/>
      <c r="MBT5" s="138"/>
      <c r="MBU5" s="138"/>
      <c r="MBV5" s="138"/>
      <c r="MBW5" s="138"/>
      <c r="MBX5" s="138"/>
      <c r="MBY5" s="138"/>
      <c r="MBZ5" s="138"/>
      <c r="MCA5" s="138"/>
      <c r="MCB5" s="138"/>
      <c r="MCC5" s="138"/>
      <c r="MCD5" s="138"/>
      <c r="MCE5" s="138"/>
      <c r="MCF5" s="138"/>
      <c r="MCG5" s="138"/>
      <c r="MCH5" s="138"/>
      <c r="MCI5" s="138"/>
      <c r="MCJ5" s="138"/>
      <c r="MCK5" s="138"/>
      <c r="MCL5" s="138"/>
      <c r="MCM5" s="138"/>
      <c r="MCN5" s="138"/>
      <c r="MCO5" s="138"/>
      <c r="MCP5" s="138"/>
      <c r="MCQ5" s="138"/>
      <c r="MCR5" s="138"/>
      <c r="MCS5" s="138"/>
      <c r="MCT5" s="138"/>
      <c r="MCU5" s="138"/>
      <c r="MCV5" s="138"/>
      <c r="MCW5" s="138"/>
      <c r="MCX5" s="138"/>
      <c r="MCY5" s="138"/>
      <c r="MCZ5" s="138"/>
      <c r="MDA5" s="138"/>
      <c r="MDB5" s="138"/>
      <c r="MDC5" s="138"/>
      <c r="MDD5" s="138"/>
      <c r="MDE5" s="138"/>
      <c r="MDF5" s="138"/>
      <c r="MDG5" s="138"/>
      <c r="MDH5" s="138"/>
      <c r="MDI5" s="138"/>
      <c r="MDJ5" s="138"/>
      <c r="MDK5" s="138"/>
      <c r="MDL5" s="138"/>
      <c r="MDM5" s="138"/>
      <c r="MDN5" s="138"/>
      <c r="MDO5" s="138"/>
      <c r="MDP5" s="138"/>
      <c r="MDQ5" s="138"/>
      <c r="MDR5" s="138"/>
      <c r="MDS5" s="138"/>
      <c r="MDT5" s="138"/>
      <c r="MDU5" s="138"/>
      <c r="MDV5" s="138"/>
      <c r="MDW5" s="138"/>
      <c r="MDX5" s="138"/>
      <c r="MDY5" s="138"/>
      <c r="MDZ5" s="138"/>
      <c r="MEA5" s="138"/>
      <c r="MEB5" s="138"/>
      <c r="MEC5" s="138"/>
      <c r="MED5" s="138"/>
      <c r="MEE5" s="138"/>
      <c r="MEF5" s="138"/>
      <c r="MEG5" s="138"/>
      <c r="MEH5" s="138"/>
      <c r="MEI5" s="138"/>
      <c r="MEJ5" s="138"/>
      <c r="MEK5" s="138"/>
      <c r="MEL5" s="138"/>
      <c r="MEM5" s="138"/>
      <c r="MEN5" s="138"/>
      <c r="MEO5" s="138"/>
      <c r="MEP5" s="138"/>
      <c r="MEQ5" s="138"/>
      <c r="MER5" s="138"/>
      <c r="MES5" s="138"/>
      <c r="MET5" s="138"/>
      <c r="MEU5" s="138"/>
      <c r="MEV5" s="138"/>
      <c r="MEW5" s="138"/>
      <c r="MEX5" s="138"/>
      <c r="MEY5" s="138"/>
      <c r="MEZ5" s="138"/>
      <c r="MFA5" s="138"/>
      <c r="MFB5" s="138"/>
      <c r="MFC5" s="138"/>
      <c r="MFD5" s="138"/>
      <c r="MFE5" s="138"/>
      <c r="MFF5" s="138"/>
      <c r="MFG5" s="138"/>
      <c r="MFH5" s="138"/>
      <c r="MFI5" s="138"/>
      <c r="MFJ5" s="138"/>
      <c r="MFK5" s="138"/>
      <c r="MFL5" s="138"/>
      <c r="MFM5" s="138"/>
      <c r="MFN5" s="138"/>
      <c r="MFO5" s="138"/>
      <c r="MFP5" s="138"/>
      <c r="MFQ5" s="138"/>
      <c r="MFR5" s="138"/>
      <c r="MFS5" s="138"/>
      <c r="MFT5" s="138"/>
      <c r="MFU5" s="138"/>
      <c r="MFV5" s="138"/>
      <c r="MFW5" s="138"/>
      <c r="MFX5" s="138"/>
      <c r="MFY5" s="138"/>
      <c r="MFZ5" s="138"/>
      <c r="MGA5" s="138"/>
      <c r="MGB5" s="138"/>
      <c r="MGC5" s="138"/>
      <c r="MGD5" s="138"/>
      <c r="MGE5" s="138"/>
      <c r="MGF5" s="138"/>
      <c r="MGG5" s="138"/>
      <c r="MGH5" s="138"/>
      <c r="MGI5" s="138"/>
      <c r="MGJ5" s="138"/>
      <c r="MGK5" s="138"/>
      <c r="MGL5" s="138"/>
      <c r="MGM5" s="138"/>
      <c r="MGN5" s="138"/>
      <c r="MGO5" s="138"/>
      <c r="MGP5" s="138"/>
      <c r="MGQ5" s="138"/>
      <c r="MGR5" s="138"/>
      <c r="MGS5" s="138"/>
      <c r="MGT5" s="138"/>
      <c r="MGU5" s="138"/>
      <c r="MGV5" s="138"/>
      <c r="MGW5" s="138"/>
      <c r="MGX5" s="138"/>
      <c r="MGY5" s="138"/>
      <c r="MGZ5" s="138"/>
      <c r="MHA5" s="138"/>
      <c r="MHB5" s="138"/>
      <c r="MHC5" s="138"/>
      <c r="MHD5" s="138"/>
      <c r="MHE5" s="138"/>
      <c r="MHF5" s="138"/>
      <c r="MHG5" s="138"/>
      <c r="MHH5" s="138"/>
      <c r="MHI5" s="138"/>
      <c r="MHJ5" s="138"/>
      <c r="MHK5" s="138"/>
      <c r="MHL5" s="138"/>
      <c r="MHM5" s="138"/>
      <c r="MHN5" s="138"/>
      <c r="MHO5" s="138"/>
      <c r="MHP5" s="138"/>
      <c r="MHQ5" s="138"/>
      <c r="MHR5" s="138"/>
      <c r="MHS5" s="138"/>
      <c r="MHT5" s="138"/>
      <c r="MHU5" s="138"/>
      <c r="MHV5" s="138"/>
      <c r="MHW5" s="138"/>
      <c r="MHX5" s="138"/>
      <c r="MHY5" s="138"/>
      <c r="MHZ5" s="138"/>
      <c r="MIA5" s="138"/>
      <c r="MIB5" s="138"/>
      <c r="MIC5" s="138"/>
      <c r="MID5" s="138"/>
      <c r="MIE5" s="138"/>
      <c r="MIF5" s="138"/>
      <c r="MIG5" s="138"/>
      <c r="MIH5" s="138"/>
      <c r="MII5" s="138"/>
      <c r="MIJ5" s="138"/>
      <c r="MIK5" s="138"/>
      <c r="MIL5" s="138"/>
      <c r="MIM5" s="138"/>
      <c r="MIN5" s="138"/>
      <c r="MIO5" s="138"/>
      <c r="MIP5" s="138"/>
      <c r="MIQ5" s="138"/>
      <c r="MIR5" s="138"/>
      <c r="MIS5" s="138"/>
      <c r="MIT5" s="138"/>
      <c r="MIU5" s="138"/>
      <c r="MIV5" s="138"/>
      <c r="MIW5" s="138"/>
      <c r="MIX5" s="138"/>
      <c r="MIY5" s="138"/>
      <c r="MIZ5" s="138"/>
      <c r="MJA5" s="138"/>
      <c r="MJB5" s="138"/>
      <c r="MJC5" s="138"/>
      <c r="MJD5" s="138"/>
      <c r="MJE5" s="138"/>
      <c r="MJF5" s="138"/>
      <c r="MJG5" s="138"/>
      <c r="MJH5" s="138"/>
      <c r="MJI5" s="138"/>
      <c r="MJJ5" s="138"/>
      <c r="MJK5" s="138"/>
      <c r="MJL5" s="138"/>
      <c r="MJM5" s="138"/>
      <c r="MJN5" s="138"/>
      <c r="MJO5" s="138"/>
      <c r="MJP5" s="138"/>
      <c r="MJQ5" s="138"/>
      <c r="MJR5" s="138"/>
      <c r="MJS5" s="138"/>
      <c r="MJT5" s="138"/>
      <c r="MJU5" s="138"/>
      <c r="MJV5" s="138"/>
      <c r="MJW5" s="138"/>
      <c r="MJX5" s="138"/>
      <c r="MJY5" s="138"/>
      <c r="MJZ5" s="138"/>
      <c r="MKA5" s="138"/>
      <c r="MKB5" s="138"/>
      <c r="MKC5" s="138"/>
      <c r="MKD5" s="138"/>
      <c r="MKE5" s="138"/>
      <c r="MKF5" s="138"/>
      <c r="MKG5" s="138"/>
      <c r="MKH5" s="138"/>
      <c r="MKI5" s="138"/>
      <c r="MKJ5" s="138"/>
      <c r="MKK5" s="138"/>
      <c r="MKL5" s="138"/>
      <c r="MKM5" s="138"/>
      <c r="MKN5" s="138"/>
      <c r="MKO5" s="138"/>
      <c r="MKP5" s="138"/>
      <c r="MKQ5" s="138"/>
      <c r="MKR5" s="138"/>
      <c r="MKS5" s="138"/>
      <c r="MKT5" s="138"/>
      <c r="MKU5" s="138"/>
      <c r="MKV5" s="138"/>
      <c r="MKW5" s="138"/>
      <c r="MKX5" s="138"/>
      <c r="MKY5" s="138"/>
      <c r="MKZ5" s="138"/>
      <c r="MLA5" s="138"/>
      <c r="MLB5" s="138"/>
      <c r="MLC5" s="138"/>
      <c r="MLD5" s="138"/>
      <c r="MLE5" s="138"/>
      <c r="MLF5" s="138"/>
      <c r="MLG5" s="138"/>
      <c r="MLH5" s="138"/>
      <c r="MLI5" s="138"/>
      <c r="MLJ5" s="138"/>
      <c r="MLK5" s="138"/>
      <c r="MLL5" s="138"/>
      <c r="MLM5" s="138"/>
      <c r="MLN5" s="138"/>
      <c r="MLO5" s="138"/>
      <c r="MLP5" s="138"/>
      <c r="MLQ5" s="138"/>
      <c r="MLR5" s="138"/>
      <c r="MLS5" s="138"/>
      <c r="MLT5" s="138"/>
      <c r="MLU5" s="138"/>
      <c r="MLV5" s="138"/>
      <c r="MLW5" s="138"/>
      <c r="MLX5" s="138"/>
      <c r="MLY5" s="138"/>
      <c r="MLZ5" s="138"/>
      <c r="MMA5" s="138"/>
      <c r="MMB5" s="138"/>
      <c r="MMC5" s="138"/>
      <c r="MMD5" s="138"/>
      <c r="MME5" s="138"/>
      <c r="MMF5" s="138"/>
      <c r="MMG5" s="138"/>
      <c r="MMH5" s="138"/>
      <c r="MMI5" s="138"/>
      <c r="MMJ5" s="138"/>
      <c r="MMK5" s="138"/>
      <c r="MML5" s="138"/>
      <c r="MMM5" s="138"/>
      <c r="MMN5" s="138"/>
      <c r="MMO5" s="138"/>
      <c r="MMP5" s="138"/>
      <c r="MMQ5" s="138"/>
      <c r="MMR5" s="138"/>
      <c r="MMS5" s="138"/>
      <c r="MMT5" s="138"/>
      <c r="MMU5" s="138"/>
      <c r="MMV5" s="138"/>
      <c r="MMW5" s="138"/>
      <c r="MMX5" s="138"/>
      <c r="MMY5" s="138"/>
      <c r="MMZ5" s="138"/>
      <c r="MNA5" s="138"/>
      <c r="MNB5" s="138"/>
      <c r="MNC5" s="138"/>
      <c r="MND5" s="138"/>
      <c r="MNE5" s="138"/>
      <c r="MNF5" s="138"/>
      <c r="MNG5" s="138"/>
      <c r="MNH5" s="138"/>
      <c r="MNI5" s="138"/>
      <c r="MNJ5" s="138"/>
      <c r="MNK5" s="138"/>
      <c r="MNL5" s="138"/>
      <c r="MNM5" s="138"/>
      <c r="MNN5" s="138"/>
      <c r="MNO5" s="138"/>
      <c r="MNP5" s="138"/>
      <c r="MNQ5" s="138"/>
      <c r="MNR5" s="138"/>
      <c r="MNS5" s="138"/>
      <c r="MNT5" s="138"/>
      <c r="MNU5" s="138"/>
      <c r="MNV5" s="138"/>
      <c r="MNW5" s="138"/>
      <c r="MNX5" s="138"/>
      <c r="MNY5" s="138"/>
      <c r="MNZ5" s="138"/>
      <c r="MOA5" s="138"/>
      <c r="MOB5" s="138"/>
      <c r="MOC5" s="138"/>
      <c r="MOD5" s="138"/>
      <c r="MOE5" s="138"/>
      <c r="MOF5" s="138"/>
      <c r="MOG5" s="138"/>
      <c r="MOH5" s="138"/>
      <c r="MOI5" s="138"/>
      <c r="MOJ5" s="138"/>
      <c r="MOK5" s="138"/>
      <c r="MOL5" s="138"/>
      <c r="MOM5" s="138"/>
      <c r="MON5" s="138"/>
      <c r="MOO5" s="138"/>
      <c r="MOP5" s="138"/>
      <c r="MOQ5" s="138"/>
      <c r="MOR5" s="138"/>
      <c r="MOS5" s="138"/>
      <c r="MOT5" s="138"/>
      <c r="MOU5" s="138"/>
      <c r="MOV5" s="138"/>
      <c r="MOW5" s="138"/>
      <c r="MOX5" s="138"/>
      <c r="MOY5" s="138"/>
      <c r="MOZ5" s="138"/>
      <c r="MPA5" s="138"/>
      <c r="MPB5" s="138"/>
      <c r="MPC5" s="138"/>
      <c r="MPD5" s="138"/>
      <c r="MPE5" s="138"/>
      <c r="MPF5" s="138"/>
      <c r="MPG5" s="138"/>
      <c r="MPH5" s="138"/>
      <c r="MPI5" s="138"/>
      <c r="MPJ5" s="138"/>
      <c r="MPK5" s="138"/>
      <c r="MPL5" s="138"/>
      <c r="MPM5" s="138"/>
      <c r="MPN5" s="138"/>
      <c r="MPO5" s="138"/>
      <c r="MPP5" s="138"/>
      <c r="MPQ5" s="138"/>
      <c r="MPR5" s="138"/>
      <c r="MPS5" s="138"/>
      <c r="MPT5" s="138"/>
      <c r="MPU5" s="138"/>
      <c r="MPV5" s="138"/>
      <c r="MPW5" s="138"/>
      <c r="MPX5" s="138"/>
      <c r="MPY5" s="138"/>
      <c r="MPZ5" s="138"/>
      <c r="MQA5" s="138"/>
      <c r="MQB5" s="138"/>
      <c r="MQC5" s="138"/>
      <c r="MQD5" s="138"/>
      <c r="MQE5" s="138"/>
      <c r="MQF5" s="138"/>
      <c r="MQG5" s="138"/>
      <c r="MQH5" s="138"/>
      <c r="MQI5" s="138"/>
      <c r="MQJ5" s="138"/>
      <c r="MQK5" s="138"/>
      <c r="MQL5" s="138"/>
      <c r="MQM5" s="138"/>
      <c r="MQN5" s="138"/>
      <c r="MQO5" s="138"/>
      <c r="MQP5" s="138"/>
      <c r="MQQ5" s="138"/>
      <c r="MQR5" s="138"/>
      <c r="MQS5" s="138"/>
      <c r="MQT5" s="138"/>
      <c r="MQU5" s="138"/>
      <c r="MQV5" s="138"/>
      <c r="MQW5" s="138"/>
      <c r="MQX5" s="138"/>
      <c r="MQY5" s="138"/>
      <c r="MQZ5" s="138"/>
      <c r="MRA5" s="138"/>
      <c r="MRB5" s="138"/>
      <c r="MRC5" s="138"/>
      <c r="MRD5" s="138"/>
      <c r="MRE5" s="138"/>
      <c r="MRF5" s="138"/>
      <c r="MRG5" s="138"/>
      <c r="MRH5" s="138"/>
      <c r="MRI5" s="138"/>
      <c r="MRJ5" s="138"/>
      <c r="MRK5" s="138"/>
      <c r="MRL5" s="138"/>
      <c r="MRM5" s="138"/>
      <c r="MRN5" s="138"/>
      <c r="MRO5" s="138"/>
      <c r="MRP5" s="138"/>
      <c r="MRQ5" s="138"/>
      <c r="MRR5" s="138"/>
      <c r="MRS5" s="138"/>
      <c r="MRT5" s="138"/>
      <c r="MRU5" s="138"/>
      <c r="MRV5" s="138"/>
      <c r="MRW5" s="138"/>
      <c r="MRX5" s="138"/>
      <c r="MRY5" s="138"/>
      <c r="MRZ5" s="138"/>
      <c r="MSA5" s="138"/>
      <c r="MSB5" s="138"/>
      <c r="MSC5" s="138"/>
      <c r="MSD5" s="138"/>
      <c r="MSE5" s="138"/>
      <c r="MSF5" s="138"/>
      <c r="MSG5" s="138"/>
      <c r="MSH5" s="138"/>
      <c r="MSI5" s="138"/>
      <c r="MSJ5" s="138"/>
      <c r="MSK5" s="138"/>
      <c r="MSL5" s="138"/>
      <c r="MSM5" s="138"/>
      <c r="MSN5" s="138"/>
      <c r="MSO5" s="138"/>
      <c r="MSP5" s="138"/>
      <c r="MSQ5" s="138"/>
      <c r="MSR5" s="138"/>
      <c r="MSS5" s="138"/>
      <c r="MST5" s="138"/>
      <c r="MSU5" s="138"/>
      <c r="MSV5" s="138"/>
      <c r="MSW5" s="138"/>
      <c r="MSX5" s="138"/>
      <c r="MSY5" s="138"/>
      <c r="MSZ5" s="138"/>
      <c r="MTA5" s="138"/>
      <c r="MTB5" s="138"/>
      <c r="MTC5" s="138"/>
      <c r="MTD5" s="138"/>
      <c r="MTE5" s="138"/>
      <c r="MTF5" s="138"/>
      <c r="MTG5" s="138"/>
      <c r="MTH5" s="138"/>
      <c r="MTI5" s="138"/>
      <c r="MTJ5" s="138"/>
      <c r="MTK5" s="138"/>
      <c r="MTL5" s="138"/>
      <c r="MTM5" s="138"/>
      <c r="MTN5" s="138"/>
      <c r="MTO5" s="138"/>
      <c r="MTP5" s="138"/>
      <c r="MTQ5" s="138"/>
      <c r="MTR5" s="138"/>
      <c r="MTS5" s="138"/>
      <c r="MTT5" s="138"/>
      <c r="MTU5" s="138"/>
      <c r="MTV5" s="138"/>
      <c r="MTW5" s="138"/>
      <c r="MTX5" s="138"/>
      <c r="MTY5" s="138"/>
      <c r="MTZ5" s="138"/>
      <c r="MUA5" s="138"/>
      <c r="MUB5" s="138"/>
      <c r="MUC5" s="138"/>
      <c r="MUD5" s="138"/>
      <c r="MUE5" s="138"/>
      <c r="MUF5" s="138"/>
      <c r="MUG5" s="138"/>
      <c r="MUH5" s="138"/>
      <c r="MUI5" s="138"/>
      <c r="MUJ5" s="138"/>
      <c r="MUK5" s="138"/>
      <c r="MUL5" s="138"/>
      <c r="MUM5" s="138"/>
      <c r="MUN5" s="138"/>
      <c r="MUO5" s="138"/>
      <c r="MUP5" s="138"/>
      <c r="MUQ5" s="138"/>
      <c r="MUR5" s="138"/>
      <c r="MUS5" s="138"/>
      <c r="MUT5" s="138"/>
      <c r="MUU5" s="138"/>
      <c r="MUV5" s="138"/>
      <c r="MUW5" s="138"/>
      <c r="MUX5" s="138"/>
      <c r="MUY5" s="138"/>
      <c r="MUZ5" s="138"/>
      <c r="MVA5" s="138"/>
      <c r="MVB5" s="138"/>
      <c r="MVC5" s="138"/>
      <c r="MVD5" s="138"/>
      <c r="MVE5" s="138"/>
      <c r="MVF5" s="138"/>
      <c r="MVG5" s="138"/>
      <c r="MVH5" s="138"/>
      <c r="MVI5" s="138"/>
      <c r="MVJ5" s="138"/>
      <c r="MVK5" s="138"/>
      <c r="MVL5" s="138"/>
      <c r="MVM5" s="138"/>
      <c r="MVN5" s="138"/>
      <c r="MVO5" s="138"/>
      <c r="MVP5" s="138"/>
      <c r="MVQ5" s="138"/>
      <c r="MVR5" s="138"/>
      <c r="MVS5" s="138"/>
      <c r="MVT5" s="138"/>
      <c r="MVU5" s="138"/>
      <c r="MVV5" s="138"/>
      <c r="MVW5" s="138"/>
      <c r="MVX5" s="138"/>
      <c r="MVY5" s="138"/>
      <c r="MVZ5" s="138"/>
      <c r="MWA5" s="138"/>
      <c r="MWB5" s="138"/>
      <c r="MWC5" s="138"/>
      <c r="MWD5" s="138"/>
      <c r="MWE5" s="138"/>
      <c r="MWF5" s="138"/>
      <c r="MWG5" s="138"/>
      <c r="MWH5" s="138"/>
      <c r="MWI5" s="138"/>
      <c r="MWJ5" s="138"/>
      <c r="MWK5" s="138"/>
      <c r="MWL5" s="138"/>
      <c r="MWM5" s="138"/>
      <c r="MWN5" s="138"/>
      <c r="MWO5" s="138"/>
      <c r="MWP5" s="138"/>
      <c r="MWQ5" s="138"/>
      <c r="MWR5" s="138"/>
      <c r="MWS5" s="138"/>
      <c r="MWT5" s="138"/>
      <c r="MWU5" s="138"/>
      <c r="MWV5" s="138"/>
      <c r="MWW5" s="138"/>
      <c r="MWX5" s="138"/>
      <c r="MWY5" s="138"/>
      <c r="MWZ5" s="138"/>
      <c r="MXA5" s="138"/>
      <c r="MXB5" s="138"/>
      <c r="MXC5" s="138"/>
      <c r="MXD5" s="138"/>
      <c r="MXE5" s="138"/>
      <c r="MXF5" s="138"/>
      <c r="MXG5" s="138"/>
      <c r="MXH5" s="138"/>
      <c r="MXI5" s="138"/>
      <c r="MXJ5" s="138"/>
      <c r="MXK5" s="138"/>
      <c r="MXL5" s="138"/>
      <c r="MXM5" s="138"/>
      <c r="MXN5" s="138"/>
      <c r="MXO5" s="138"/>
      <c r="MXP5" s="138"/>
      <c r="MXQ5" s="138"/>
      <c r="MXR5" s="138"/>
      <c r="MXS5" s="138"/>
      <c r="MXT5" s="138"/>
      <c r="MXU5" s="138"/>
      <c r="MXV5" s="138"/>
      <c r="MXW5" s="138"/>
      <c r="MXX5" s="138"/>
      <c r="MXY5" s="138"/>
      <c r="MXZ5" s="138"/>
      <c r="MYA5" s="138"/>
      <c r="MYB5" s="138"/>
      <c r="MYC5" s="138"/>
      <c r="MYD5" s="138"/>
      <c r="MYE5" s="138"/>
      <c r="MYF5" s="138"/>
      <c r="MYG5" s="138"/>
      <c r="MYH5" s="138"/>
      <c r="MYI5" s="138"/>
      <c r="MYJ5" s="138"/>
      <c r="MYK5" s="138"/>
      <c r="MYL5" s="138"/>
      <c r="MYM5" s="138"/>
      <c r="MYN5" s="138"/>
      <c r="MYO5" s="138"/>
      <c r="MYP5" s="138"/>
      <c r="MYQ5" s="138"/>
      <c r="MYR5" s="138"/>
      <c r="MYS5" s="138"/>
      <c r="MYT5" s="138"/>
      <c r="MYU5" s="138"/>
      <c r="MYV5" s="138"/>
      <c r="MYW5" s="138"/>
      <c r="MYX5" s="138"/>
      <c r="MYY5" s="138"/>
      <c r="MYZ5" s="138"/>
      <c r="MZA5" s="138"/>
      <c r="MZB5" s="138"/>
      <c r="MZC5" s="138"/>
      <c r="MZD5" s="138"/>
      <c r="MZE5" s="138"/>
      <c r="MZF5" s="138"/>
      <c r="MZG5" s="138"/>
      <c r="MZH5" s="138"/>
      <c r="MZI5" s="138"/>
      <c r="MZJ5" s="138"/>
      <c r="MZK5" s="138"/>
      <c r="MZL5" s="138"/>
      <c r="MZM5" s="138"/>
      <c r="MZN5" s="138"/>
      <c r="MZO5" s="138"/>
      <c r="MZP5" s="138"/>
      <c r="MZQ5" s="138"/>
      <c r="MZR5" s="138"/>
      <c r="MZS5" s="138"/>
      <c r="MZT5" s="138"/>
      <c r="MZU5" s="138"/>
      <c r="MZV5" s="138"/>
      <c r="MZW5" s="138"/>
      <c r="MZX5" s="138"/>
      <c r="MZY5" s="138"/>
      <c r="MZZ5" s="138"/>
      <c r="NAA5" s="138"/>
      <c r="NAB5" s="138"/>
      <c r="NAC5" s="138"/>
      <c r="NAD5" s="138"/>
      <c r="NAE5" s="138"/>
      <c r="NAF5" s="138"/>
      <c r="NAG5" s="138"/>
      <c r="NAH5" s="138"/>
      <c r="NAI5" s="138"/>
      <c r="NAJ5" s="138"/>
      <c r="NAK5" s="138"/>
      <c r="NAL5" s="138"/>
      <c r="NAM5" s="138"/>
      <c r="NAN5" s="138"/>
      <c r="NAO5" s="138"/>
      <c r="NAP5" s="138"/>
      <c r="NAQ5" s="138"/>
      <c r="NAR5" s="138"/>
      <c r="NAS5" s="138"/>
      <c r="NAT5" s="138"/>
      <c r="NAU5" s="138"/>
      <c r="NAV5" s="138"/>
      <c r="NAW5" s="138"/>
      <c r="NAX5" s="138"/>
      <c r="NAY5" s="138"/>
      <c r="NAZ5" s="138"/>
      <c r="NBA5" s="138"/>
      <c r="NBB5" s="138"/>
      <c r="NBC5" s="138"/>
      <c r="NBD5" s="138"/>
      <c r="NBE5" s="138"/>
      <c r="NBF5" s="138"/>
      <c r="NBG5" s="138"/>
      <c r="NBH5" s="138"/>
      <c r="NBI5" s="138"/>
      <c r="NBJ5" s="138"/>
      <c r="NBK5" s="138"/>
      <c r="NBL5" s="138"/>
      <c r="NBM5" s="138"/>
      <c r="NBN5" s="138"/>
      <c r="NBO5" s="138"/>
      <c r="NBP5" s="138"/>
      <c r="NBQ5" s="138"/>
      <c r="NBR5" s="138"/>
      <c r="NBS5" s="138"/>
      <c r="NBT5" s="138"/>
      <c r="NBU5" s="138"/>
      <c r="NBV5" s="138"/>
      <c r="NBW5" s="138"/>
      <c r="NBX5" s="138"/>
      <c r="NBY5" s="138"/>
      <c r="NBZ5" s="138"/>
      <c r="NCA5" s="138"/>
      <c r="NCB5" s="138"/>
      <c r="NCC5" s="138"/>
      <c r="NCD5" s="138"/>
      <c r="NCE5" s="138"/>
      <c r="NCF5" s="138"/>
      <c r="NCG5" s="138"/>
      <c r="NCH5" s="138"/>
      <c r="NCI5" s="138"/>
      <c r="NCJ5" s="138"/>
      <c r="NCK5" s="138"/>
      <c r="NCL5" s="138"/>
      <c r="NCM5" s="138"/>
      <c r="NCN5" s="138"/>
      <c r="NCO5" s="138"/>
      <c r="NCP5" s="138"/>
      <c r="NCQ5" s="138"/>
      <c r="NCR5" s="138"/>
      <c r="NCS5" s="138"/>
      <c r="NCT5" s="138"/>
      <c r="NCU5" s="138"/>
      <c r="NCV5" s="138"/>
      <c r="NCW5" s="138"/>
      <c r="NCX5" s="138"/>
      <c r="NCY5" s="138"/>
      <c r="NCZ5" s="138"/>
      <c r="NDA5" s="138"/>
      <c r="NDB5" s="138"/>
      <c r="NDC5" s="138"/>
      <c r="NDD5" s="138"/>
      <c r="NDE5" s="138"/>
      <c r="NDF5" s="138"/>
      <c r="NDG5" s="138"/>
      <c r="NDH5" s="138"/>
      <c r="NDI5" s="138"/>
      <c r="NDJ5" s="138"/>
      <c r="NDK5" s="138"/>
      <c r="NDL5" s="138"/>
      <c r="NDM5" s="138"/>
      <c r="NDN5" s="138"/>
      <c r="NDO5" s="138"/>
      <c r="NDP5" s="138"/>
      <c r="NDQ5" s="138"/>
      <c r="NDR5" s="138"/>
      <c r="NDS5" s="138"/>
      <c r="NDT5" s="138"/>
      <c r="NDU5" s="138"/>
      <c r="NDV5" s="138"/>
      <c r="NDW5" s="138"/>
      <c r="NDX5" s="138"/>
      <c r="NDY5" s="138"/>
      <c r="NDZ5" s="138"/>
      <c r="NEA5" s="138"/>
      <c r="NEB5" s="138"/>
      <c r="NEC5" s="138"/>
      <c r="NED5" s="138"/>
      <c r="NEE5" s="138"/>
      <c r="NEF5" s="138"/>
      <c r="NEG5" s="138"/>
      <c r="NEH5" s="138"/>
      <c r="NEI5" s="138"/>
      <c r="NEJ5" s="138"/>
      <c r="NEK5" s="138"/>
      <c r="NEL5" s="138"/>
      <c r="NEM5" s="138"/>
      <c r="NEN5" s="138"/>
      <c r="NEO5" s="138"/>
      <c r="NEP5" s="138"/>
      <c r="NEQ5" s="138"/>
      <c r="NER5" s="138"/>
      <c r="NES5" s="138"/>
      <c r="NET5" s="138"/>
      <c r="NEU5" s="138"/>
      <c r="NEV5" s="138"/>
      <c r="NEW5" s="138"/>
      <c r="NEX5" s="138"/>
      <c r="NEY5" s="138"/>
      <c r="NEZ5" s="138"/>
      <c r="NFA5" s="138"/>
      <c r="NFB5" s="138"/>
      <c r="NFC5" s="138"/>
      <c r="NFD5" s="138"/>
      <c r="NFE5" s="138"/>
      <c r="NFF5" s="138"/>
      <c r="NFG5" s="138"/>
      <c r="NFH5" s="138"/>
      <c r="NFI5" s="138"/>
      <c r="NFJ5" s="138"/>
      <c r="NFK5" s="138"/>
      <c r="NFL5" s="138"/>
      <c r="NFM5" s="138"/>
      <c r="NFN5" s="138"/>
      <c r="NFO5" s="138"/>
      <c r="NFP5" s="138"/>
      <c r="NFQ5" s="138"/>
      <c r="NFR5" s="138"/>
      <c r="NFS5" s="138"/>
      <c r="NFT5" s="138"/>
      <c r="NFU5" s="138"/>
      <c r="NFV5" s="138"/>
      <c r="NFW5" s="138"/>
      <c r="NFX5" s="138"/>
      <c r="NFY5" s="138"/>
      <c r="NFZ5" s="138"/>
      <c r="NGA5" s="138"/>
      <c r="NGB5" s="138"/>
      <c r="NGC5" s="138"/>
      <c r="NGD5" s="138"/>
      <c r="NGE5" s="138"/>
      <c r="NGF5" s="138"/>
      <c r="NGG5" s="138"/>
      <c r="NGH5" s="138"/>
      <c r="NGI5" s="138"/>
      <c r="NGJ5" s="138"/>
      <c r="NGK5" s="138"/>
      <c r="NGL5" s="138"/>
      <c r="NGM5" s="138"/>
      <c r="NGN5" s="138"/>
      <c r="NGO5" s="138"/>
      <c r="NGP5" s="138"/>
      <c r="NGQ5" s="138"/>
      <c r="NGR5" s="138"/>
      <c r="NGS5" s="138"/>
      <c r="NGT5" s="138"/>
      <c r="NGU5" s="138"/>
      <c r="NGV5" s="138"/>
      <c r="NGW5" s="138"/>
      <c r="NGX5" s="138"/>
      <c r="NGY5" s="138"/>
      <c r="NGZ5" s="138"/>
      <c r="NHA5" s="138"/>
      <c r="NHB5" s="138"/>
      <c r="NHC5" s="138"/>
      <c r="NHD5" s="138"/>
      <c r="NHE5" s="138"/>
      <c r="NHF5" s="138"/>
      <c r="NHG5" s="138"/>
      <c r="NHH5" s="138"/>
      <c r="NHI5" s="138"/>
      <c r="NHJ5" s="138"/>
      <c r="NHK5" s="138"/>
      <c r="NHL5" s="138"/>
      <c r="NHM5" s="138"/>
      <c r="NHN5" s="138"/>
      <c r="NHO5" s="138"/>
      <c r="NHP5" s="138"/>
      <c r="NHQ5" s="138"/>
      <c r="NHR5" s="138"/>
      <c r="NHS5" s="138"/>
      <c r="NHT5" s="138"/>
      <c r="NHU5" s="138"/>
      <c r="NHV5" s="138"/>
      <c r="NHW5" s="138"/>
      <c r="NHX5" s="138"/>
      <c r="NHY5" s="138"/>
      <c r="NHZ5" s="138"/>
      <c r="NIA5" s="138"/>
      <c r="NIB5" s="138"/>
      <c r="NIC5" s="138"/>
      <c r="NID5" s="138"/>
      <c r="NIE5" s="138"/>
      <c r="NIF5" s="138"/>
      <c r="NIG5" s="138"/>
      <c r="NIH5" s="138"/>
      <c r="NII5" s="138"/>
      <c r="NIJ5" s="138"/>
      <c r="NIK5" s="138"/>
      <c r="NIL5" s="138"/>
      <c r="NIM5" s="138"/>
      <c r="NIN5" s="138"/>
      <c r="NIO5" s="138"/>
      <c r="NIP5" s="138"/>
      <c r="NIQ5" s="138"/>
      <c r="NIR5" s="138"/>
      <c r="NIS5" s="138"/>
      <c r="NIT5" s="138"/>
      <c r="NIU5" s="138"/>
      <c r="NIV5" s="138"/>
      <c r="NIW5" s="138"/>
      <c r="NIX5" s="138"/>
      <c r="NIY5" s="138"/>
      <c r="NIZ5" s="138"/>
      <c r="NJA5" s="138"/>
      <c r="NJB5" s="138"/>
      <c r="NJC5" s="138"/>
      <c r="NJD5" s="138"/>
      <c r="NJE5" s="138"/>
      <c r="NJF5" s="138"/>
      <c r="NJG5" s="138"/>
      <c r="NJH5" s="138"/>
      <c r="NJI5" s="138"/>
      <c r="NJJ5" s="138"/>
      <c r="NJK5" s="138"/>
      <c r="NJL5" s="138"/>
      <c r="NJM5" s="138"/>
      <c r="NJN5" s="138"/>
      <c r="NJO5" s="138"/>
      <c r="NJP5" s="138"/>
      <c r="NJQ5" s="138"/>
      <c r="NJR5" s="138"/>
      <c r="NJS5" s="138"/>
      <c r="NJT5" s="138"/>
      <c r="NJU5" s="138"/>
      <c r="NJV5" s="138"/>
      <c r="NJW5" s="138"/>
      <c r="NJX5" s="138"/>
      <c r="NJY5" s="138"/>
      <c r="NJZ5" s="138"/>
      <c r="NKA5" s="138"/>
      <c r="NKB5" s="138"/>
      <c r="NKC5" s="138"/>
      <c r="NKD5" s="138"/>
      <c r="NKE5" s="138"/>
      <c r="NKF5" s="138"/>
      <c r="NKG5" s="138"/>
      <c r="NKH5" s="138"/>
      <c r="NKI5" s="138"/>
      <c r="NKJ5" s="138"/>
      <c r="NKK5" s="138"/>
      <c r="NKL5" s="138"/>
      <c r="NKM5" s="138"/>
      <c r="NKN5" s="138"/>
      <c r="NKO5" s="138"/>
      <c r="NKP5" s="138"/>
      <c r="NKQ5" s="138"/>
      <c r="NKR5" s="138"/>
      <c r="NKS5" s="138"/>
      <c r="NKT5" s="138"/>
      <c r="NKU5" s="138"/>
      <c r="NKV5" s="138"/>
      <c r="NKW5" s="138"/>
      <c r="NKX5" s="138"/>
      <c r="NKY5" s="138"/>
      <c r="NKZ5" s="138"/>
      <c r="NLA5" s="138"/>
      <c r="NLB5" s="138"/>
      <c r="NLC5" s="138"/>
      <c r="NLD5" s="138"/>
      <c r="NLE5" s="138"/>
      <c r="NLF5" s="138"/>
      <c r="NLG5" s="138"/>
      <c r="NLH5" s="138"/>
      <c r="NLI5" s="138"/>
      <c r="NLJ5" s="138"/>
      <c r="NLK5" s="138"/>
      <c r="NLL5" s="138"/>
      <c r="NLM5" s="138"/>
      <c r="NLN5" s="138"/>
      <c r="NLO5" s="138"/>
      <c r="NLP5" s="138"/>
      <c r="NLQ5" s="138"/>
      <c r="NLR5" s="138"/>
      <c r="NLS5" s="138"/>
      <c r="NLT5" s="138"/>
      <c r="NLU5" s="138"/>
      <c r="NLV5" s="138"/>
      <c r="NLW5" s="138"/>
      <c r="NLX5" s="138"/>
      <c r="NLY5" s="138"/>
      <c r="NLZ5" s="138"/>
      <c r="NMA5" s="138"/>
      <c r="NMB5" s="138"/>
      <c r="NMC5" s="138"/>
      <c r="NMD5" s="138"/>
      <c r="NME5" s="138"/>
      <c r="NMF5" s="138"/>
      <c r="NMG5" s="138"/>
      <c r="NMH5" s="138"/>
      <c r="NMI5" s="138"/>
      <c r="NMJ5" s="138"/>
      <c r="NMK5" s="138"/>
      <c r="NML5" s="138"/>
      <c r="NMM5" s="138"/>
      <c r="NMN5" s="138"/>
      <c r="NMO5" s="138"/>
      <c r="NMP5" s="138"/>
      <c r="NMQ5" s="138"/>
      <c r="NMR5" s="138"/>
      <c r="NMS5" s="138"/>
      <c r="NMT5" s="138"/>
      <c r="NMU5" s="138"/>
      <c r="NMV5" s="138"/>
      <c r="NMW5" s="138"/>
      <c r="NMX5" s="138"/>
      <c r="NMY5" s="138"/>
      <c r="NMZ5" s="138"/>
      <c r="NNA5" s="138"/>
      <c r="NNB5" s="138"/>
      <c r="NNC5" s="138"/>
      <c r="NND5" s="138"/>
      <c r="NNE5" s="138"/>
      <c r="NNF5" s="138"/>
      <c r="NNG5" s="138"/>
      <c r="NNH5" s="138"/>
      <c r="NNI5" s="138"/>
      <c r="NNJ5" s="138"/>
      <c r="NNK5" s="138"/>
      <c r="NNL5" s="138"/>
      <c r="NNM5" s="138"/>
      <c r="NNN5" s="138"/>
      <c r="NNO5" s="138"/>
      <c r="NNP5" s="138"/>
      <c r="NNQ5" s="138"/>
      <c r="NNR5" s="138"/>
      <c r="NNS5" s="138"/>
      <c r="NNT5" s="138"/>
      <c r="NNU5" s="138"/>
      <c r="NNV5" s="138"/>
      <c r="NNW5" s="138"/>
      <c r="NNX5" s="138"/>
      <c r="NNY5" s="138"/>
      <c r="NNZ5" s="138"/>
      <c r="NOA5" s="138"/>
      <c r="NOB5" s="138"/>
      <c r="NOC5" s="138"/>
      <c r="NOD5" s="138"/>
      <c r="NOE5" s="138"/>
      <c r="NOF5" s="138"/>
      <c r="NOG5" s="138"/>
      <c r="NOH5" s="138"/>
      <c r="NOI5" s="138"/>
      <c r="NOJ5" s="138"/>
      <c r="NOK5" s="138"/>
      <c r="NOL5" s="138"/>
      <c r="NOM5" s="138"/>
      <c r="NON5" s="138"/>
      <c r="NOO5" s="138"/>
      <c r="NOP5" s="138"/>
      <c r="NOQ5" s="138"/>
      <c r="NOR5" s="138"/>
      <c r="NOS5" s="138"/>
      <c r="NOT5" s="138"/>
      <c r="NOU5" s="138"/>
      <c r="NOV5" s="138"/>
      <c r="NOW5" s="138"/>
      <c r="NOX5" s="138"/>
      <c r="NOY5" s="138"/>
      <c r="NOZ5" s="138"/>
      <c r="NPA5" s="138"/>
      <c r="NPB5" s="138"/>
      <c r="NPC5" s="138"/>
      <c r="NPD5" s="138"/>
      <c r="NPE5" s="138"/>
      <c r="NPF5" s="138"/>
      <c r="NPG5" s="138"/>
      <c r="NPH5" s="138"/>
      <c r="NPI5" s="138"/>
      <c r="NPJ5" s="138"/>
      <c r="NPK5" s="138"/>
      <c r="NPL5" s="138"/>
      <c r="NPM5" s="138"/>
      <c r="NPN5" s="138"/>
      <c r="NPO5" s="138"/>
      <c r="NPP5" s="138"/>
      <c r="NPQ5" s="138"/>
      <c r="NPR5" s="138"/>
      <c r="NPS5" s="138"/>
      <c r="NPT5" s="138"/>
      <c r="NPU5" s="138"/>
      <c r="NPV5" s="138"/>
      <c r="NPW5" s="138"/>
      <c r="NPX5" s="138"/>
      <c r="NPY5" s="138"/>
      <c r="NPZ5" s="138"/>
      <c r="NQA5" s="138"/>
      <c r="NQB5" s="138"/>
      <c r="NQC5" s="138"/>
      <c r="NQD5" s="138"/>
      <c r="NQE5" s="138"/>
      <c r="NQF5" s="138"/>
      <c r="NQG5" s="138"/>
      <c r="NQH5" s="138"/>
      <c r="NQI5" s="138"/>
      <c r="NQJ5" s="138"/>
      <c r="NQK5" s="138"/>
      <c r="NQL5" s="138"/>
      <c r="NQM5" s="138"/>
      <c r="NQN5" s="138"/>
      <c r="NQO5" s="138"/>
      <c r="NQP5" s="138"/>
      <c r="NQQ5" s="138"/>
      <c r="NQR5" s="138"/>
      <c r="NQS5" s="138"/>
      <c r="NQT5" s="138"/>
      <c r="NQU5" s="138"/>
      <c r="NQV5" s="138"/>
      <c r="NQW5" s="138"/>
      <c r="NQX5" s="138"/>
      <c r="NQY5" s="138"/>
      <c r="NQZ5" s="138"/>
      <c r="NRA5" s="138"/>
      <c r="NRB5" s="138"/>
      <c r="NRC5" s="138"/>
      <c r="NRD5" s="138"/>
      <c r="NRE5" s="138"/>
      <c r="NRF5" s="138"/>
      <c r="NRG5" s="138"/>
      <c r="NRH5" s="138"/>
      <c r="NRI5" s="138"/>
      <c r="NRJ5" s="138"/>
      <c r="NRK5" s="138"/>
      <c r="NRL5" s="138"/>
      <c r="NRM5" s="138"/>
      <c r="NRN5" s="138"/>
      <c r="NRO5" s="138"/>
      <c r="NRP5" s="138"/>
      <c r="NRQ5" s="138"/>
      <c r="NRR5" s="138"/>
      <c r="NRS5" s="138"/>
      <c r="NRT5" s="138"/>
      <c r="NRU5" s="138"/>
      <c r="NRV5" s="138"/>
      <c r="NRW5" s="138"/>
      <c r="NRX5" s="138"/>
      <c r="NRY5" s="138"/>
      <c r="NRZ5" s="138"/>
      <c r="NSA5" s="138"/>
      <c r="NSB5" s="138"/>
      <c r="NSC5" s="138"/>
      <c r="NSD5" s="138"/>
      <c r="NSE5" s="138"/>
      <c r="NSF5" s="138"/>
      <c r="NSG5" s="138"/>
      <c r="NSH5" s="138"/>
      <c r="NSI5" s="138"/>
      <c r="NSJ5" s="138"/>
      <c r="NSK5" s="138"/>
      <c r="NSL5" s="138"/>
      <c r="NSM5" s="138"/>
      <c r="NSN5" s="138"/>
      <c r="NSO5" s="138"/>
      <c r="NSP5" s="138"/>
      <c r="NSQ5" s="138"/>
      <c r="NSR5" s="138"/>
      <c r="NSS5" s="138"/>
      <c r="NST5" s="138"/>
      <c r="NSU5" s="138"/>
      <c r="NSV5" s="138"/>
      <c r="NSW5" s="138"/>
      <c r="NSX5" s="138"/>
      <c r="NSY5" s="138"/>
      <c r="NSZ5" s="138"/>
      <c r="NTA5" s="138"/>
      <c r="NTB5" s="138"/>
      <c r="NTC5" s="138"/>
      <c r="NTD5" s="138"/>
      <c r="NTE5" s="138"/>
      <c r="NTF5" s="138"/>
      <c r="NTG5" s="138"/>
      <c r="NTH5" s="138"/>
      <c r="NTI5" s="138"/>
      <c r="NTJ5" s="138"/>
      <c r="NTK5" s="138"/>
      <c r="NTL5" s="138"/>
      <c r="NTM5" s="138"/>
      <c r="NTN5" s="138"/>
      <c r="NTO5" s="138"/>
      <c r="NTP5" s="138"/>
      <c r="NTQ5" s="138"/>
      <c r="NTR5" s="138"/>
      <c r="NTS5" s="138"/>
      <c r="NTT5" s="138"/>
      <c r="NTU5" s="138"/>
      <c r="NTV5" s="138"/>
      <c r="NTW5" s="138"/>
      <c r="NTX5" s="138"/>
      <c r="NTY5" s="138"/>
      <c r="NTZ5" s="138"/>
      <c r="NUA5" s="138"/>
      <c r="NUB5" s="138"/>
      <c r="NUC5" s="138"/>
      <c r="NUD5" s="138"/>
      <c r="NUE5" s="138"/>
      <c r="NUF5" s="138"/>
      <c r="NUG5" s="138"/>
      <c r="NUH5" s="138"/>
      <c r="NUI5" s="138"/>
      <c r="NUJ5" s="138"/>
      <c r="NUK5" s="138"/>
      <c r="NUL5" s="138"/>
      <c r="NUM5" s="138"/>
      <c r="NUN5" s="138"/>
      <c r="NUO5" s="138"/>
      <c r="NUP5" s="138"/>
      <c r="NUQ5" s="138"/>
      <c r="NUR5" s="138"/>
      <c r="NUS5" s="138"/>
      <c r="NUT5" s="138"/>
      <c r="NUU5" s="138"/>
      <c r="NUV5" s="138"/>
      <c r="NUW5" s="138"/>
      <c r="NUX5" s="138"/>
      <c r="NUY5" s="138"/>
      <c r="NUZ5" s="138"/>
      <c r="NVA5" s="138"/>
      <c r="NVB5" s="138"/>
      <c r="NVC5" s="138"/>
      <c r="NVD5" s="138"/>
      <c r="NVE5" s="138"/>
      <c r="NVF5" s="138"/>
      <c r="NVG5" s="138"/>
      <c r="NVH5" s="138"/>
      <c r="NVI5" s="138"/>
      <c r="NVJ5" s="138"/>
      <c r="NVK5" s="138"/>
      <c r="NVL5" s="138"/>
      <c r="NVM5" s="138"/>
      <c r="NVN5" s="138"/>
      <c r="NVO5" s="138"/>
      <c r="NVP5" s="138"/>
      <c r="NVQ5" s="138"/>
      <c r="NVR5" s="138"/>
      <c r="NVS5" s="138"/>
      <c r="NVT5" s="138"/>
      <c r="NVU5" s="138"/>
      <c r="NVV5" s="138"/>
      <c r="NVW5" s="138"/>
      <c r="NVX5" s="138"/>
      <c r="NVY5" s="138"/>
      <c r="NVZ5" s="138"/>
      <c r="NWA5" s="138"/>
      <c r="NWB5" s="138"/>
      <c r="NWC5" s="138"/>
      <c r="NWD5" s="138"/>
      <c r="NWE5" s="138"/>
      <c r="NWF5" s="138"/>
      <c r="NWG5" s="138"/>
      <c r="NWH5" s="138"/>
      <c r="NWI5" s="138"/>
      <c r="NWJ5" s="138"/>
      <c r="NWK5" s="138"/>
      <c r="NWL5" s="138"/>
      <c r="NWM5" s="138"/>
      <c r="NWN5" s="138"/>
      <c r="NWO5" s="138"/>
      <c r="NWP5" s="138"/>
      <c r="NWQ5" s="138"/>
      <c r="NWR5" s="138"/>
      <c r="NWS5" s="138"/>
      <c r="NWT5" s="138"/>
      <c r="NWU5" s="138"/>
      <c r="NWV5" s="138"/>
      <c r="NWW5" s="138"/>
      <c r="NWX5" s="138"/>
      <c r="NWY5" s="138"/>
      <c r="NWZ5" s="138"/>
      <c r="NXA5" s="138"/>
      <c r="NXB5" s="138"/>
      <c r="NXC5" s="138"/>
      <c r="NXD5" s="138"/>
      <c r="NXE5" s="138"/>
      <c r="NXF5" s="138"/>
      <c r="NXG5" s="138"/>
      <c r="NXH5" s="138"/>
      <c r="NXI5" s="138"/>
      <c r="NXJ5" s="138"/>
      <c r="NXK5" s="138"/>
      <c r="NXL5" s="138"/>
      <c r="NXM5" s="138"/>
      <c r="NXN5" s="138"/>
      <c r="NXO5" s="138"/>
      <c r="NXP5" s="138"/>
      <c r="NXQ5" s="138"/>
      <c r="NXR5" s="138"/>
      <c r="NXS5" s="138"/>
      <c r="NXT5" s="138"/>
      <c r="NXU5" s="138"/>
      <c r="NXV5" s="138"/>
      <c r="NXW5" s="138"/>
      <c r="NXX5" s="138"/>
      <c r="NXY5" s="138"/>
      <c r="NXZ5" s="138"/>
      <c r="NYA5" s="138"/>
      <c r="NYB5" s="138"/>
      <c r="NYC5" s="138"/>
      <c r="NYD5" s="138"/>
      <c r="NYE5" s="138"/>
      <c r="NYF5" s="138"/>
      <c r="NYG5" s="138"/>
      <c r="NYH5" s="138"/>
      <c r="NYI5" s="138"/>
      <c r="NYJ5" s="138"/>
      <c r="NYK5" s="138"/>
      <c r="NYL5" s="138"/>
      <c r="NYM5" s="138"/>
      <c r="NYN5" s="138"/>
      <c r="NYO5" s="138"/>
      <c r="NYP5" s="138"/>
      <c r="NYQ5" s="138"/>
      <c r="NYR5" s="138"/>
      <c r="NYS5" s="138"/>
      <c r="NYT5" s="138"/>
      <c r="NYU5" s="138"/>
      <c r="NYV5" s="138"/>
      <c r="NYW5" s="138"/>
      <c r="NYX5" s="138"/>
      <c r="NYY5" s="138"/>
      <c r="NYZ5" s="138"/>
      <c r="NZA5" s="138"/>
      <c r="NZB5" s="138"/>
      <c r="NZC5" s="138"/>
      <c r="NZD5" s="138"/>
      <c r="NZE5" s="138"/>
      <c r="NZF5" s="138"/>
      <c r="NZG5" s="138"/>
      <c r="NZH5" s="138"/>
      <c r="NZI5" s="138"/>
      <c r="NZJ5" s="138"/>
      <c r="NZK5" s="138"/>
      <c r="NZL5" s="138"/>
      <c r="NZM5" s="138"/>
      <c r="NZN5" s="138"/>
      <c r="NZO5" s="138"/>
      <c r="NZP5" s="138"/>
      <c r="NZQ5" s="138"/>
      <c r="NZR5" s="138"/>
      <c r="NZS5" s="138"/>
      <c r="NZT5" s="138"/>
      <c r="NZU5" s="138"/>
      <c r="NZV5" s="138"/>
      <c r="NZW5" s="138"/>
      <c r="NZX5" s="138"/>
      <c r="NZY5" s="138"/>
      <c r="NZZ5" s="138"/>
      <c r="OAA5" s="138"/>
      <c r="OAB5" s="138"/>
      <c r="OAC5" s="138"/>
      <c r="OAD5" s="138"/>
      <c r="OAE5" s="138"/>
      <c r="OAF5" s="138"/>
      <c r="OAG5" s="138"/>
      <c r="OAH5" s="138"/>
      <c r="OAI5" s="138"/>
      <c r="OAJ5" s="138"/>
      <c r="OAK5" s="138"/>
      <c r="OAL5" s="138"/>
      <c r="OAM5" s="138"/>
      <c r="OAN5" s="138"/>
      <c r="OAO5" s="138"/>
      <c r="OAP5" s="138"/>
      <c r="OAQ5" s="138"/>
      <c r="OAR5" s="138"/>
      <c r="OAS5" s="138"/>
      <c r="OAT5" s="138"/>
      <c r="OAU5" s="138"/>
      <c r="OAV5" s="138"/>
      <c r="OAW5" s="138"/>
      <c r="OAX5" s="138"/>
      <c r="OAY5" s="138"/>
      <c r="OAZ5" s="138"/>
      <c r="OBA5" s="138"/>
      <c r="OBB5" s="138"/>
      <c r="OBC5" s="138"/>
      <c r="OBD5" s="138"/>
      <c r="OBE5" s="138"/>
      <c r="OBF5" s="138"/>
      <c r="OBG5" s="138"/>
      <c r="OBH5" s="138"/>
      <c r="OBI5" s="138"/>
      <c r="OBJ5" s="138"/>
      <c r="OBK5" s="138"/>
      <c r="OBL5" s="138"/>
      <c r="OBM5" s="138"/>
      <c r="OBN5" s="138"/>
      <c r="OBO5" s="138"/>
      <c r="OBP5" s="138"/>
      <c r="OBQ5" s="138"/>
      <c r="OBR5" s="138"/>
      <c r="OBS5" s="138"/>
      <c r="OBT5" s="138"/>
      <c r="OBU5" s="138"/>
      <c r="OBV5" s="138"/>
      <c r="OBW5" s="138"/>
      <c r="OBX5" s="138"/>
      <c r="OBY5" s="138"/>
      <c r="OBZ5" s="138"/>
      <c r="OCA5" s="138"/>
      <c r="OCB5" s="138"/>
      <c r="OCC5" s="138"/>
      <c r="OCD5" s="138"/>
      <c r="OCE5" s="138"/>
      <c r="OCF5" s="138"/>
      <c r="OCG5" s="138"/>
      <c r="OCH5" s="138"/>
      <c r="OCI5" s="138"/>
      <c r="OCJ5" s="138"/>
      <c r="OCK5" s="138"/>
      <c r="OCL5" s="138"/>
      <c r="OCM5" s="138"/>
      <c r="OCN5" s="138"/>
      <c r="OCO5" s="138"/>
      <c r="OCP5" s="138"/>
      <c r="OCQ5" s="138"/>
      <c r="OCR5" s="138"/>
      <c r="OCS5" s="138"/>
      <c r="OCT5" s="138"/>
      <c r="OCU5" s="138"/>
      <c r="OCV5" s="138"/>
      <c r="OCW5" s="138"/>
      <c r="OCX5" s="138"/>
      <c r="OCY5" s="138"/>
      <c r="OCZ5" s="138"/>
      <c r="ODA5" s="138"/>
      <c r="ODB5" s="138"/>
      <c r="ODC5" s="138"/>
      <c r="ODD5" s="138"/>
      <c r="ODE5" s="138"/>
      <c r="ODF5" s="138"/>
      <c r="ODG5" s="138"/>
      <c r="ODH5" s="138"/>
      <c r="ODI5" s="138"/>
      <c r="ODJ5" s="138"/>
      <c r="ODK5" s="138"/>
      <c r="ODL5" s="138"/>
      <c r="ODM5" s="138"/>
      <c r="ODN5" s="138"/>
      <c r="ODO5" s="138"/>
      <c r="ODP5" s="138"/>
      <c r="ODQ5" s="138"/>
      <c r="ODR5" s="138"/>
      <c r="ODS5" s="138"/>
      <c r="ODT5" s="138"/>
      <c r="ODU5" s="138"/>
      <c r="ODV5" s="138"/>
      <c r="ODW5" s="138"/>
      <c r="ODX5" s="138"/>
      <c r="ODY5" s="138"/>
      <c r="ODZ5" s="138"/>
      <c r="OEA5" s="138"/>
      <c r="OEB5" s="138"/>
      <c r="OEC5" s="138"/>
      <c r="OED5" s="138"/>
      <c r="OEE5" s="138"/>
      <c r="OEF5" s="138"/>
      <c r="OEG5" s="138"/>
      <c r="OEH5" s="138"/>
      <c r="OEI5" s="138"/>
      <c r="OEJ5" s="138"/>
      <c r="OEK5" s="138"/>
      <c r="OEL5" s="138"/>
      <c r="OEM5" s="138"/>
      <c r="OEN5" s="138"/>
      <c r="OEO5" s="138"/>
      <c r="OEP5" s="138"/>
      <c r="OEQ5" s="138"/>
      <c r="OER5" s="138"/>
      <c r="OES5" s="138"/>
      <c r="OET5" s="138"/>
      <c r="OEU5" s="138"/>
      <c r="OEV5" s="138"/>
      <c r="OEW5" s="138"/>
      <c r="OEX5" s="138"/>
      <c r="OEY5" s="138"/>
      <c r="OEZ5" s="138"/>
      <c r="OFA5" s="138"/>
      <c r="OFB5" s="138"/>
      <c r="OFC5" s="138"/>
      <c r="OFD5" s="138"/>
      <c r="OFE5" s="138"/>
      <c r="OFF5" s="138"/>
      <c r="OFG5" s="138"/>
      <c r="OFH5" s="138"/>
      <c r="OFI5" s="138"/>
      <c r="OFJ5" s="138"/>
      <c r="OFK5" s="138"/>
      <c r="OFL5" s="138"/>
      <c r="OFM5" s="138"/>
      <c r="OFN5" s="138"/>
      <c r="OFO5" s="138"/>
      <c r="OFP5" s="138"/>
      <c r="OFQ5" s="138"/>
      <c r="OFR5" s="138"/>
      <c r="OFS5" s="138"/>
      <c r="OFT5" s="138"/>
      <c r="OFU5" s="138"/>
      <c r="OFV5" s="138"/>
      <c r="OFW5" s="138"/>
      <c r="OFX5" s="138"/>
      <c r="OFY5" s="138"/>
      <c r="OFZ5" s="138"/>
      <c r="OGA5" s="138"/>
      <c r="OGB5" s="138"/>
      <c r="OGC5" s="138"/>
      <c r="OGD5" s="138"/>
      <c r="OGE5" s="138"/>
      <c r="OGF5" s="138"/>
      <c r="OGG5" s="138"/>
      <c r="OGH5" s="138"/>
      <c r="OGI5" s="138"/>
      <c r="OGJ5" s="138"/>
      <c r="OGK5" s="138"/>
      <c r="OGL5" s="138"/>
      <c r="OGM5" s="138"/>
      <c r="OGN5" s="138"/>
      <c r="OGO5" s="138"/>
      <c r="OGP5" s="138"/>
      <c r="OGQ5" s="138"/>
      <c r="OGR5" s="138"/>
      <c r="OGS5" s="138"/>
      <c r="OGT5" s="138"/>
      <c r="OGU5" s="138"/>
      <c r="OGV5" s="138"/>
      <c r="OGW5" s="138"/>
      <c r="OGX5" s="138"/>
      <c r="OGY5" s="138"/>
      <c r="OGZ5" s="138"/>
      <c r="OHA5" s="138"/>
      <c r="OHB5" s="138"/>
      <c r="OHC5" s="138"/>
      <c r="OHD5" s="138"/>
      <c r="OHE5" s="138"/>
      <c r="OHF5" s="138"/>
      <c r="OHG5" s="138"/>
      <c r="OHH5" s="138"/>
      <c r="OHI5" s="138"/>
      <c r="OHJ5" s="138"/>
      <c r="OHK5" s="138"/>
      <c r="OHL5" s="138"/>
      <c r="OHM5" s="138"/>
      <c r="OHN5" s="138"/>
      <c r="OHO5" s="138"/>
      <c r="OHP5" s="138"/>
      <c r="OHQ5" s="138"/>
      <c r="OHR5" s="138"/>
      <c r="OHS5" s="138"/>
      <c r="OHT5" s="138"/>
      <c r="OHU5" s="138"/>
      <c r="OHV5" s="138"/>
      <c r="OHW5" s="138"/>
      <c r="OHX5" s="138"/>
      <c r="OHY5" s="138"/>
      <c r="OHZ5" s="138"/>
      <c r="OIA5" s="138"/>
      <c r="OIB5" s="138"/>
      <c r="OIC5" s="138"/>
      <c r="OID5" s="138"/>
      <c r="OIE5" s="138"/>
      <c r="OIF5" s="138"/>
      <c r="OIG5" s="138"/>
      <c r="OIH5" s="138"/>
      <c r="OII5" s="138"/>
      <c r="OIJ5" s="138"/>
      <c r="OIK5" s="138"/>
      <c r="OIL5" s="138"/>
      <c r="OIM5" s="138"/>
      <c r="OIN5" s="138"/>
      <c r="OIO5" s="138"/>
      <c r="OIP5" s="138"/>
      <c r="OIQ5" s="138"/>
      <c r="OIR5" s="138"/>
      <c r="OIS5" s="138"/>
      <c r="OIT5" s="138"/>
      <c r="OIU5" s="138"/>
      <c r="OIV5" s="138"/>
      <c r="OIW5" s="138"/>
      <c r="OIX5" s="138"/>
      <c r="OIY5" s="138"/>
      <c r="OIZ5" s="138"/>
      <c r="OJA5" s="138"/>
      <c r="OJB5" s="138"/>
      <c r="OJC5" s="138"/>
      <c r="OJD5" s="138"/>
      <c r="OJE5" s="138"/>
      <c r="OJF5" s="138"/>
      <c r="OJG5" s="138"/>
      <c r="OJH5" s="138"/>
      <c r="OJI5" s="138"/>
      <c r="OJJ5" s="138"/>
      <c r="OJK5" s="138"/>
      <c r="OJL5" s="138"/>
      <c r="OJM5" s="138"/>
      <c r="OJN5" s="138"/>
      <c r="OJO5" s="138"/>
      <c r="OJP5" s="138"/>
      <c r="OJQ5" s="138"/>
      <c r="OJR5" s="138"/>
      <c r="OJS5" s="138"/>
      <c r="OJT5" s="138"/>
      <c r="OJU5" s="138"/>
      <c r="OJV5" s="138"/>
      <c r="OJW5" s="138"/>
      <c r="OJX5" s="138"/>
      <c r="OJY5" s="138"/>
      <c r="OJZ5" s="138"/>
      <c r="OKA5" s="138"/>
      <c r="OKB5" s="138"/>
      <c r="OKC5" s="138"/>
      <c r="OKD5" s="138"/>
      <c r="OKE5" s="138"/>
      <c r="OKF5" s="138"/>
      <c r="OKG5" s="138"/>
      <c r="OKH5" s="138"/>
      <c r="OKI5" s="138"/>
      <c r="OKJ5" s="138"/>
      <c r="OKK5" s="138"/>
      <c r="OKL5" s="138"/>
      <c r="OKM5" s="138"/>
      <c r="OKN5" s="138"/>
      <c r="OKO5" s="138"/>
      <c r="OKP5" s="138"/>
      <c r="OKQ5" s="138"/>
      <c r="OKR5" s="138"/>
      <c r="OKS5" s="138"/>
      <c r="OKT5" s="138"/>
      <c r="OKU5" s="138"/>
      <c r="OKV5" s="138"/>
      <c r="OKW5" s="138"/>
      <c r="OKX5" s="138"/>
      <c r="OKY5" s="138"/>
      <c r="OKZ5" s="138"/>
      <c r="OLA5" s="138"/>
      <c r="OLB5" s="138"/>
      <c r="OLC5" s="138"/>
      <c r="OLD5" s="138"/>
      <c r="OLE5" s="138"/>
      <c r="OLF5" s="138"/>
      <c r="OLG5" s="138"/>
      <c r="OLH5" s="138"/>
      <c r="OLI5" s="138"/>
      <c r="OLJ5" s="138"/>
      <c r="OLK5" s="138"/>
      <c r="OLL5" s="138"/>
      <c r="OLM5" s="138"/>
      <c r="OLN5" s="138"/>
      <c r="OLO5" s="138"/>
      <c r="OLP5" s="138"/>
      <c r="OLQ5" s="138"/>
      <c r="OLR5" s="138"/>
      <c r="OLS5" s="138"/>
      <c r="OLT5" s="138"/>
      <c r="OLU5" s="138"/>
      <c r="OLV5" s="138"/>
      <c r="OLW5" s="138"/>
      <c r="OLX5" s="138"/>
      <c r="OLY5" s="138"/>
      <c r="OLZ5" s="138"/>
      <c r="OMA5" s="138"/>
      <c r="OMB5" s="138"/>
      <c r="OMC5" s="138"/>
      <c r="OMD5" s="138"/>
      <c r="OME5" s="138"/>
      <c r="OMF5" s="138"/>
      <c r="OMG5" s="138"/>
      <c r="OMH5" s="138"/>
      <c r="OMI5" s="138"/>
      <c r="OMJ5" s="138"/>
      <c r="OMK5" s="138"/>
      <c r="OML5" s="138"/>
      <c r="OMM5" s="138"/>
      <c r="OMN5" s="138"/>
      <c r="OMO5" s="138"/>
      <c r="OMP5" s="138"/>
      <c r="OMQ5" s="138"/>
      <c r="OMR5" s="138"/>
      <c r="OMS5" s="138"/>
      <c r="OMT5" s="138"/>
      <c r="OMU5" s="138"/>
      <c r="OMV5" s="138"/>
      <c r="OMW5" s="138"/>
      <c r="OMX5" s="138"/>
      <c r="OMY5" s="138"/>
      <c r="OMZ5" s="138"/>
      <c r="ONA5" s="138"/>
      <c r="ONB5" s="138"/>
      <c r="ONC5" s="138"/>
      <c r="OND5" s="138"/>
      <c r="ONE5" s="138"/>
      <c r="ONF5" s="138"/>
      <c r="ONG5" s="138"/>
      <c r="ONH5" s="138"/>
      <c r="ONI5" s="138"/>
      <c r="ONJ5" s="138"/>
      <c r="ONK5" s="138"/>
      <c r="ONL5" s="138"/>
      <c r="ONM5" s="138"/>
      <c r="ONN5" s="138"/>
      <c r="ONO5" s="138"/>
      <c r="ONP5" s="138"/>
      <c r="ONQ5" s="138"/>
      <c r="ONR5" s="138"/>
      <c r="ONS5" s="138"/>
      <c r="ONT5" s="138"/>
      <c r="ONU5" s="138"/>
      <c r="ONV5" s="138"/>
      <c r="ONW5" s="138"/>
      <c r="ONX5" s="138"/>
      <c r="ONY5" s="138"/>
      <c r="ONZ5" s="138"/>
      <c r="OOA5" s="138"/>
      <c r="OOB5" s="138"/>
      <c r="OOC5" s="138"/>
      <c r="OOD5" s="138"/>
      <c r="OOE5" s="138"/>
      <c r="OOF5" s="138"/>
      <c r="OOG5" s="138"/>
      <c r="OOH5" s="138"/>
      <c r="OOI5" s="138"/>
      <c r="OOJ5" s="138"/>
      <c r="OOK5" s="138"/>
      <c r="OOL5" s="138"/>
      <c r="OOM5" s="138"/>
      <c r="OON5" s="138"/>
      <c r="OOO5" s="138"/>
      <c r="OOP5" s="138"/>
      <c r="OOQ5" s="138"/>
      <c r="OOR5" s="138"/>
      <c r="OOS5" s="138"/>
      <c r="OOT5" s="138"/>
      <c r="OOU5" s="138"/>
      <c r="OOV5" s="138"/>
      <c r="OOW5" s="138"/>
      <c r="OOX5" s="138"/>
      <c r="OOY5" s="138"/>
      <c r="OOZ5" s="138"/>
      <c r="OPA5" s="138"/>
      <c r="OPB5" s="138"/>
      <c r="OPC5" s="138"/>
      <c r="OPD5" s="138"/>
      <c r="OPE5" s="138"/>
      <c r="OPF5" s="138"/>
      <c r="OPG5" s="138"/>
      <c r="OPH5" s="138"/>
      <c r="OPI5" s="138"/>
      <c r="OPJ5" s="138"/>
      <c r="OPK5" s="138"/>
      <c r="OPL5" s="138"/>
      <c r="OPM5" s="138"/>
      <c r="OPN5" s="138"/>
      <c r="OPO5" s="138"/>
      <c r="OPP5" s="138"/>
      <c r="OPQ5" s="138"/>
      <c r="OPR5" s="138"/>
      <c r="OPS5" s="138"/>
      <c r="OPT5" s="138"/>
      <c r="OPU5" s="138"/>
      <c r="OPV5" s="138"/>
      <c r="OPW5" s="138"/>
      <c r="OPX5" s="138"/>
      <c r="OPY5" s="138"/>
      <c r="OPZ5" s="138"/>
      <c r="OQA5" s="138"/>
      <c r="OQB5" s="138"/>
      <c r="OQC5" s="138"/>
      <c r="OQD5" s="138"/>
      <c r="OQE5" s="138"/>
      <c r="OQF5" s="138"/>
      <c r="OQG5" s="138"/>
      <c r="OQH5" s="138"/>
      <c r="OQI5" s="138"/>
      <c r="OQJ5" s="138"/>
      <c r="OQK5" s="138"/>
      <c r="OQL5" s="138"/>
      <c r="OQM5" s="138"/>
      <c r="OQN5" s="138"/>
      <c r="OQO5" s="138"/>
      <c r="OQP5" s="138"/>
      <c r="OQQ5" s="138"/>
      <c r="OQR5" s="138"/>
      <c r="OQS5" s="138"/>
      <c r="OQT5" s="138"/>
      <c r="OQU5" s="138"/>
      <c r="OQV5" s="138"/>
      <c r="OQW5" s="138"/>
      <c r="OQX5" s="138"/>
      <c r="OQY5" s="138"/>
      <c r="OQZ5" s="138"/>
      <c r="ORA5" s="138"/>
      <c r="ORB5" s="138"/>
      <c r="ORC5" s="138"/>
      <c r="ORD5" s="138"/>
      <c r="ORE5" s="138"/>
      <c r="ORF5" s="138"/>
      <c r="ORG5" s="138"/>
      <c r="ORH5" s="138"/>
      <c r="ORI5" s="138"/>
      <c r="ORJ5" s="138"/>
      <c r="ORK5" s="138"/>
      <c r="ORL5" s="138"/>
      <c r="ORM5" s="138"/>
      <c r="ORN5" s="138"/>
      <c r="ORO5" s="138"/>
      <c r="ORP5" s="138"/>
      <c r="ORQ5" s="138"/>
      <c r="ORR5" s="138"/>
      <c r="ORS5" s="138"/>
      <c r="ORT5" s="138"/>
      <c r="ORU5" s="138"/>
      <c r="ORV5" s="138"/>
      <c r="ORW5" s="138"/>
      <c r="ORX5" s="138"/>
      <c r="ORY5" s="138"/>
      <c r="ORZ5" s="138"/>
      <c r="OSA5" s="138"/>
      <c r="OSB5" s="138"/>
      <c r="OSC5" s="138"/>
      <c r="OSD5" s="138"/>
      <c r="OSE5" s="138"/>
      <c r="OSF5" s="138"/>
      <c r="OSG5" s="138"/>
      <c r="OSH5" s="138"/>
      <c r="OSI5" s="138"/>
      <c r="OSJ5" s="138"/>
      <c r="OSK5" s="138"/>
      <c r="OSL5" s="138"/>
      <c r="OSM5" s="138"/>
      <c r="OSN5" s="138"/>
      <c r="OSO5" s="138"/>
      <c r="OSP5" s="138"/>
      <c r="OSQ5" s="138"/>
      <c r="OSR5" s="138"/>
      <c r="OSS5" s="138"/>
      <c r="OST5" s="138"/>
      <c r="OSU5" s="138"/>
      <c r="OSV5" s="138"/>
      <c r="OSW5" s="138"/>
      <c r="OSX5" s="138"/>
      <c r="OSY5" s="138"/>
      <c r="OSZ5" s="138"/>
      <c r="OTA5" s="138"/>
      <c r="OTB5" s="138"/>
      <c r="OTC5" s="138"/>
      <c r="OTD5" s="138"/>
      <c r="OTE5" s="138"/>
      <c r="OTF5" s="138"/>
      <c r="OTG5" s="138"/>
      <c r="OTH5" s="138"/>
      <c r="OTI5" s="138"/>
      <c r="OTJ5" s="138"/>
      <c r="OTK5" s="138"/>
      <c r="OTL5" s="138"/>
      <c r="OTM5" s="138"/>
      <c r="OTN5" s="138"/>
      <c r="OTO5" s="138"/>
      <c r="OTP5" s="138"/>
      <c r="OTQ5" s="138"/>
      <c r="OTR5" s="138"/>
      <c r="OTS5" s="138"/>
      <c r="OTT5" s="138"/>
      <c r="OTU5" s="138"/>
      <c r="OTV5" s="138"/>
      <c r="OTW5" s="138"/>
      <c r="OTX5" s="138"/>
      <c r="OTY5" s="138"/>
      <c r="OTZ5" s="138"/>
      <c r="OUA5" s="138"/>
      <c r="OUB5" s="138"/>
      <c r="OUC5" s="138"/>
      <c r="OUD5" s="138"/>
      <c r="OUE5" s="138"/>
      <c r="OUF5" s="138"/>
      <c r="OUG5" s="138"/>
      <c r="OUH5" s="138"/>
      <c r="OUI5" s="138"/>
      <c r="OUJ5" s="138"/>
      <c r="OUK5" s="138"/>
      <c r="OUL5" s="138"/>
      <c r="OUM5" s="138"/>
      <c r="OUN5" s="138"/>
      <c r="OUO5" s="138"/>
      <c r="OUP5" s="138"/>
      <c r="OUQ5" s="138"/>
      <c r="OUR5" s="138"/>
      <c r="OUS5" s="138"/>
      <c r="OUT5" s="138"/>
      <c r="OUU5" s="138"/>
      <c r="OUV5" s="138"/>
      <c r="OUW5" s="138"/>
      <c r="OUX5" s="138"/>
      <c r="OUY5" s="138"/>
      <c r="OUZ5" s="138"/>
      <c r="OVA5" s="138"/>
      <c r="OVB5" s="138"/>
      <c r="OVC5" s="138"/>
      <c r="OVD5" s="138"/>
      <c r="OVE5" s="138"/>
      <c r="OVF5" s="138"/>
      <c r="OVG5" s="138"/>
      <c r="OVH5" s="138"/>
      <c r="OVI5" s="138"/>
      <c r="OVJ5" s="138"/>
      <c r="OVK5" s="138"/>
      <c r="OVL5" s="138"/>
      <c r="OVM5" s="138"/>
      <c r="OVN5" s="138"/>
      <c r="OVO5" s="138"/>
      <c r="OVP5" s="138"/>
      <c r="OVQ5" s="138"/>
      <c r="OVR5" s="138"/>
      <c r="OVS5" s="138"/>
      <c r="OVT5" s="138"/>
      <c r="OVU5" s="138"/>
      <c r="OVV5" s="138"/>
      <c r="OVW5" s="138"/>
      <c r="OVX5" s="138"/>
      <c r="OVY5" s="138"/>
      <c r="OVZ5" s="138"/>
      <c r="OWA5" s="138"/>
      <c r="OWB5" s="138"/>
      <c r="OWC5" s="138"/>
      <c r="OWD5" s="138"/>
      <c r="OWE5" s="138"/>
      <c r="OWF5" s="138"/>
      <c r="OWG5" s="138"/>
      <c r="OWH5" s="138"/>
      <c r="OWI5" s="138"/>
      <c r="OWJ5" s="138"/>
      <c r="OWK5" s="138"/>
      <c r="OWL5" s="138"/>
      <c r="OWM5" s="138"/>
      <c r="OWN5" s="138"/>
      <c r="OWO5" s="138"/>
      <c r="OWP5" s="138"/>
      <c r="OWQ5" s="138"/>
      <c r="OWR5" s="138"/>
      <c r="OWS5" s="138"/>
      <c r="OWT5" s="138"/>
      <c r="OWU5" s="138"/>
      <c r="OWV5" s="138"/>
      <c r="OWW5" s="138"/>
      <c r="OWX5" s="138"/>
      <c r="OWY5" s="138"/>
      <c r="OWZ5" s="138"/>
      <c r="OXA5" s="138"/>
      <c r="OXB5" s="138"/>
      <c r="OXC5" s="138"/>
      <c r="OXD5" s="138"/>
      <c r="OXE5" s="138"/>
      <c r="OXF5" s="138"/>
      <c r="OXG5" s="138"/>
      <c r="OXH5" s="138"/>
      <c r="OXI5" s="138"/>
      <c r="OXJ5" s="138"/>
      <c r="OXK5" s="138"/>
      <c r="OXL5" s="138"/>
      <c r="OXM5" s="138"/>
      <c r="OXN5" s="138"/>
      <c r="OXO5" s="138"/>
      <c r="OXP5" s="138"/>
      <c r="OXQ5" s="138"/>
      <c r="OXR5" s="138"/>
      <c r="OXS5" s="138"/>
      <c r="OXT5" s="138"/>
      <c r="OXU5" s="138"/>
      <c r="OXV5" s="138"/>
      <c r="OXW5" s="138"/>
      <c r="OXX5" s="138"/>
      <c r="OXY5" s="138"/>
      <c r="OXZ5" s="138"/>
      <c r="OYA5" s="138"/>
      <c r="OYB5" s="138"/>
      <c r="OYC5" s="138"/>
      <c r="OYD5" s="138"/>
      <c r="OYE5" s="138"/>
      <c r="OYF5" s="138"/>
      <c r="OYG5" s="138"/>
      <c r="OYH5" s="138"/>
      <c r="OYI5" s="138"/>
      <c r="OYJ5" s="138"/>
      <c r="OYK5" s="138"/>
      <c r="OYL5" s="138"/>
      <c r="OYM5" s="138"/>
      <c r="OYN5" s="138"/>
      <c r="OYO5" s="138"/>
      <c r="OYP5" s="138"/>
      <c r="OYQ5" s="138"/>
      <c r="OYR5" s="138"/>
      <c r="OYS5" s="138"/>
      <c r="OYT5" s="138"/>
      <c r="OYU5" s="138"/>
      <c r="OYV5" s="138"/>
      <c r="OYW5" s="138"/>
      <c r="OYX5" s="138"/>
      <c r="OYY5" s="138"/>
      <c r="OYZ5" s="138"/>
      <c r="OZA5" s="138"/>
      <c r="OZB5" s="138"/>
      <c r="OZC5" s="138"/>
      <c r="OZD5" s="138"/>
      <c r="OZE5" s="138"/>
      <c r="OZF5" s="138"/>
      <c r="OZG5" s="138"/>
      <c r="OZH5" s="138"/>
      <c r="OZI5" s="138"/>
      <c r="OZJ5" s="138"/>
      <c r="OZK5" s="138"/>
      <c r="OZL5" s="138"/>
      <c r="OZM5" s="138"/>
      <c r="OZN5" s="138"/>
      <c r="OZO5" s="138"/>
      <c r="OZP5" s="138"/>
      <c r="OZQ5" s="138"/>
      <c r="OZR5" s="138"/>
      <c r="OZS5" s="138"/>
      <c r="OZT5" s="138"/>
      <c r="OZU5" s="138"/>
      <c r="OZV5" s="138"/>
      <c r="OZW5" s="138"/>
      <c r="OZX5" s="138"/>
      <c r="OZY5" s="138"/>
      <c r="OZZ5" s="138"/>
      <c r="PAA5" s="138"/>
      <c r="PAB5" s="138"/>
      <c r="PAC5" s="138"/>
      <c r="PAD5" s="138"/>
      <c r="PAE5" s="138"/>
      <c r="PAF5" s="138"/>
      <c r="PAG5" s="138"/>
      <c r="PAH5" s="138"/>
      <c r="PAI5" s="138"/>
      <c r="PAJ5" s="138"/>
      <c r="PAK5" s="138"/>
      <c r="PAL5" s="138"/>
      <c r="PAM5" s="138"/>
      <c r="PAN5" s="138"/>
      <c r="PAO5" s="138"/>
      <c r="PAP5" s="138"/>
      <c r="PAQ5" s="138"/>
      <c r="PAR5" s="138"/>
      <c r="PAS5" s="138"/>
      <c r="PAT5" s="138"/>
      <c r="PAU5" s="138"/>
      <c r="PAV5" s="138"/>
      <c r="PAW5" s="138"/>
      <c r="PAX5" s="138"/>
      <c r="PAY5" s="138"/>
      <c r="PAZ5" s="138"/>
      <c r="PBA5" s="138"/>
      <c r="PBB5" s="138"/>
      <c r="PBC5" s="138"/>
      <c r="PBD5" s="138"/>
      <c r="PBE5" s="138"/>
      <c r="PBF5" s="138"/>
      <c r="PBG5" s="138"/>
      <c r="PBH5" s="138"/>
      <c r="PBI5" s="138"/>
      <c r="PBJ5" s="138"/>
      <c r="PBK5" s="138"/>
      <c r="PBL5" s="138"/>
      <c r="PBM5" s="138"/>
      <c r="PBN5" s="138"/>
      <c r="PBO5" s="138"/>
      <c r="PBP5" s="138"/>
      <c r="PBQ5" s="138"/>
      <c r="PBR5" s="138"/>
      <c r="PBS5" s="138"/>
      <c r="PBT5" s="138"/>
      <c r="PBU5" s="138"/>
      <c r="PBV5" s="138"/>
      <c r="PBW5" s="138"/>
      <c r="PBX5" s="138"/>
      <c r="PBY5" s="138"/>
      <c r="PBZ5" s="138"/>
      <c r="PCA5" s="138"/>
      <c r="PCB5" s="138"/>
      <c r="PCC5" s="138"/>
      <c r="PCD5" s="138"/>
      <c r="PCE5" s="138"/>
      <c r="PCF5" s="138"/>
      <c r="PCG5" s="138"/>
      <c r="PCH5" s="138"/>
      <c r="PCI5" s="138"/>
      <c r="PCJ5" s="138"/>
      <c r="PCK5" s="138"/>
      <c r="PCL5" s="138"/>
      <c r="PCM5" s="138"/>
      <c r="PCN5" s="138"/>
      <c r="PCO5" s="138"/>
      <c r="PCP5" s="138"/>
      <c r="PCQ5" s="138"/>
      <c r="PCR5" s="138"/>
      <c r="PCS5" s="138"/>
      <c r="PCT5" s="138"/>
      <c r="PCU5" s="138"/>
      <c r="PCV5" s="138"/>
      <c r="PCW5" s="138"/>
      <c r="PCX5" s="138"/>
      <c r="PCY5" s="138"/>
      <c r="PCZ5" s="138"/>
      <c r="PDA5" s="138"/>
      <c r="PDB5" s="138"/>
      <c r="PDC5" s="138"/>
      <c r="PDD5" s="138"/>
      <c r="PDE5" s="138"/>
      <c r="PDF5" s="138"/>
      <c r="PDG5" s="138"/>
      <c r="PDH5" s="138"/>
      <c r="PDI5" s="138"/>
      <c r="PDJ5" s="138"/>
      <c r="PDK5" s="138"/>
      <c r="PDL5" s="138"/>
      <c r="PDM5" s="138"/>
      <c r="PDN5" s="138"/>
      <c r="PDO5" s="138"/>
      <c r="PDP5" s="138"/>
      <c r="PDQ5" s="138"/>
      <c r="PDR5" s="138"/>
      <c r="PDS5" s="138"/>
      <c r="PDT5" s="138"/>
      <c r="PDU5" s="138"/>
      <c r="PDV5" s="138"/>
      <c r="PDW5" s="138"/>
      <c r="PDX5" s="138"/>
      <c r="PDY5" s="138"/>
      <c r="PDZ5" s="138"/>
      <c r="PEA5" s="138"/>
      <c r="PEB5" s="138"/>
      <c r="PEC5" s="138"/>
      <c r="PED5" s="138"/>
      <c r="PEE5" s="138"/>
      <c r="PEF5" s="138"/>
      <c r="PEG5" s="138"/>
      <c r="PEH5" s="138"/>
      <c r="PEI5" s="138"/>
      <c r="PEJ5" s="138"/>
      <c r="PEK5" s="138"/>
      <c r="PEL5" s="138"/>
      <c r="PEM5" s="138"/>
      <c r="PEN5" s="138"/>
      <c r="PEO5" s="138"/>
      <c r="PEP5" s="138"/>
      <c r="PEQ5" s="138"/>
      <c r="PER5" s="138"/>
      <c r="PES5" s="138"/>
      <c r="PET5" s="138"/>
      <c r="PEU5" s="138"/>
      <c r="PEV5" s="138"/>
      <c r="PEW5" s="138"/>
      <c r="PEX5" s="138"/>
      <c r="PEY5" s="138"/>
      <c r="PEZ5" s="138"/>
      <c r="PFA5" s="138"/>
      <c r="PFB5" s="138"/>
      <c r="PFC5" s="138"/>
      <c r="PFD5" s="138"/>
      <c r="PFE5" s="138"/>
      <c r="PFF5" s="138"/>
      <c r="PFG5" s="138"/>
      <c r="PFH5" s="138"/>
      <c r="PFI5" s="138"/>
      <c r="PFJ5" s="138"/>
      <c r="PFK5" s="138"/>
      <c r="PFL5" s="138"/>
      <c r="PFM5" s="138"/>
      <c r="PFN5" s="138"/>
      <c r="PFO5" s="138"/>
      <c r="PFP5" s="138"/>
      <c r="PFQ5" s="138"/>
      <c r="PFR5" s="138"/>
      <c r="PFS5" s="138"/>
      <c r="PFT5" s="138"/>
      <c r="PFU5" s="138"/>
      <c r="PFV5" s="138"/>
      <c r="PFW5" s="138"/>
      <c r="PFX5" s="138"/>
      <c r="PFY5" s="138"/>
      <c r="PFZ5" s="138"/>
      <c r="PGA5" s="138"/>
      <c r="PGB5" s="138"/>
      <c r="PGC5" s="138"/>
      <c r="PGD5" s="138"/>
      <c r="PGE5" s="138"/>
      <c r="PGF5" s="138"/>
      <c r="PGG5" s="138"/>
      <c r="PGH5" s="138"/>
      <c r="PGI5" s="138"/>
      <c r="PGJ5" s="138"/>
      <c r="PGK5" s="138"/>
      <c r="PGL5" s="138"/>
      <c r="PGM5" s="138"/>
      <c r="PGN5" s="138"/>
      <c r="PGO5" s="138"/>
      <c r="PGP5" s="138"/>
      <c r="PGQ5" s="138"/>
      <c r="PGR5" s="138"/>
      <c r="PGS5" s="138"/>
      <c r="PGT5" s="138"/>
      <c r="PGU5" s="138"/>
      <c r="PGV5" s="138"/>
      <c r="PGW5" s="138"/>
      <c r="PGX5" s="138"/>
      <c r="PGY5" s="138"/>
      <c r="PGZ5" s="138"/>
      <c r="PHA5" s="138"/>
      <c r="PHB5" s="138"/>
      <c r="PHC5" s="138"/>
      <c r="PHD5" s="138"/>
      <c r="PHE5" s="138"/>
      <c r="PHF5" s="138"/>
      <c r="PHG5" s="138"/>
      <c r="PHH5" s="138"/>
      <c r="PHI5" s="138"/>
      <c r="PHJ5" s="138"/>
      <c r="PHK5" s="138"/>
      <c r="PHL5" s="138"/>
      <c r="PHM5" s="138"/>
      <c r="PHN5" s="138"/>
      <c r="PHO5" s="138"/>
      <c r="PHP5" s="138"/>
      <c r="PHQ5" s="138"/>
      <c r="PHR5" s="138"/>
      <c r="PHS5" s="138"/>
      <c r="PHT5" s="138"/>
      <c r="PHU5" s="138"/>
      <c r="PHV5" s="138"/>
      <c r="PHW5" s="138"/>
      <c r="PHX5" s="138"/>
      <c r="PHY5" s="138"/>
      <c r="PHZ5" s="138"/>
      <c r="PIA5" s="138"/>
      <c r="PIB5" s="138"/>
      <c r="PIC5" s="138"/>
      <c r="PID5" s="138"/>
      <c r="PIE5" s="138"/>
      <c r="PIF5" s="138"/>
      <c r="PIG5" s="138"/>
      <c r="PIH5" s="138"/>
      <c r="PII5" s="138"/>
      <c r="PIJ5" s="138"/>
      <c r="PIK5" s="138"/>
      <c r="PIL5" s="138"/>
      <c r="PIM5" s="138"/>
      <c r="PIN5" s="138"/>
      <c r="PIO5" s="138"/>
      <c r="PIP5" s="138"/>
      <c r="PIQ5" s="138"/>
      <c r="PIR5" s="138"/>
      <c r="PIS5" s="138"/>
      <c r="PIT5" s="138"/>
      <c r="PIU5" s="138"/>
      <c r="PIV5" s="138"/>
      <c r="PIW5" s="138"/>
      <c r="PIX5" s="138"/>
      <c r="PIY5" s="138"/>
      <c r="PIZ5" s="138"/>
      <c r="PJA5" s="138"/>
      <c r="PJB5" s="138"/>
      <c r="PJC5" s="138"/>
      <c r="PJD5" s="138"/>
      <c r="PJE5" s="138"/>
      <c r="PJF5" s="138"/>
      <c r="PJG5" s="138"/>
      <c r="PJH5" s="138"/>
      <c r="PJI5" s="138"/>
      <c r="PJJ5" s="138"/>
      <c r="PJK5" s="138"/>
      <c r="PJL5" s="138"/>
      <c r="PJM5" s="138"/>
      <c r="PJN5" s="138"/>
      <c r="PJO5" s="138"/>
      <c r="PJP5" s="138"/>
      <c r="PJQ5" s="138"/>
      <c r="PJR5" s="138"/>
      <c r="PJS5" s="138"/>
      <c r="PJT5" s="138"/>
      <c r="PJU5" s="138"/>
      <c r="PJV5" s="138"/>
      <c r="PJW5" s="138"/>
      <c r="PJX5" s="138"/>
      <c r="PJY5" s="138"/>
      <c r="PJZ5" s="138"/>
      <c r="PKA5" s="138"/>
      <c r="PKB5" s="138"/>
      <c r="PKC5" s="138"/>
      <c r="PKD5" s="138"/>
      <c r="PKE5" s="138"/>
      <c r="PKF5" s="138"/>
      <c r="PKG5" s="138"/>
      <c r="PKH5" s="138"/>
      <c r="PKI5" s="138"/>
      <c r="PKJ5" s="138"/>
      <c r="PKK5" s="138"/>
      <c r="PKL5" s="138"/>
      <c r="PKM5" s="138"/>
      <c r="PKN5" s="138"/>
      <c r="PKO5" s="138"/>
      <c r="PKP5" s="138"/>
      <c r="PKQ5" s="138"/>
      <c r="PKR5" s="138"/>
      <c r="PKS5" s="138"/>
      <c r="PKT5" s="138"/>
      <c r="PKU5" s="138"/>
      <c r="PKV5" s="138"/>
      <c r="PKW5" s="138"/>
      <c r="PKX5" s="138"/>
      <c r="PKY5" s="138"/>
      <c r="PKZ5" s="138"/>
      <c r="PLA5" s="138"/>
      <c r="PLB5" s="138"/>
      <c r="PLC5" s="138"/>
      <c r="PLD5" s="138"/>
      <c r="PLE5" s="138"/>
      <c r="PLF5" s="138"/>
      <c r="PLG5" s="138"/>
      <c r="PLH5" s="138"/>
      <c r="PLI5" s="138"/>
      <c r="PLJ5" s="138"/>
      <c r="PLK5" s="138"/>
      <c r="PLL5" s="138"/>
      <c r="PLM5" s="138"/>
      <c r="PLN5" s="138"/>
      <c r="PLO5" s="138"/>
      <c r="PLP5" s="138"/>
      <c r="PLQ5" s="138"/>
      <c r="PLR5" s="138"/>
      <c r="PLS5" s="138"/>
      <c r="PLT5" s="138"/>
      <c r="PLU5" s="138"/>
      <c r="PLV5" s="138"/>
      <c r="PLW5" s="138"/>
      <c r="PLX5" s="138"/>
      <c r="PLY5" s="138"/>
      <c r="PLZ5" s="138"/>
      <c r="PMA5" s="138"/>
      <c r="PMB5" s="138"/>
      <c r="PMC5" s="138"/>
      <c r="PMD5" s="138"/>
      <c r="PME5" s="138"/>
      <c r="PMF5" s="138"/>
      <c r="PMG5" s="138"/>
      <c r="PMH5" s="138"/>
      <c r="PMI5" s="138"/>
      <c r="PMJ5" s="138"/>
      <c r="PMK5" s="138"/>
      <c r="PML5" s="138"/>
      <c r="PMM5" s="138"/>
      <c r="PMN5" s="138"/>
      <c r="PMO5" s="138"/>
      <c r="PMP5" s="138"/>
      <c r="PMQ5" s="138"/>
      <c r="PMR5" s="138"/>
      <c r="PMS5" s="138"/>
      <c r="PMT5" s="138"/>
      <c r="PMU5" s="138"/>
      <c r="PMV5" s="138"/>
      <c r="PMW5" s="138"/>
      <c r="PMX5" s="138"/>
      <c r="PMY5" s="138"/>
      <c r="PMZ5" s="138"/>
      <c r="PNA5" s="138"/>
      <c r="PNB5" s="138"/>
      <c r="PNC5" s="138"/>
      <c r="PND5" s="138"/>
      <c r="PNE5" s="138"/>
      <c r="PNF5" s="138"/>
      <c r="PNG5" s="138"/>
      <c r="PNH5" s="138"/>
      <c r="PNI5" s="138"/>
      <c r="PNJ5" s="138"/>
      <c r="PNK5" s="138"/>
      <c r="PNL5" s="138"/>
      <c r="PNM5" s="138"/>
      <c r="PNN5" s="138"/>
      <c r="PNO5" s="138"/>
      <c r="PNP5" s="138"/>
      <c r="PNQ5" s="138"/>
      <c r="PNR5" s="138"/>
      <c r="PNS5" s="138"/>
      <c r="PNT5" s="138"/>
      <c r="PNU5" s="138"/>
      <c r="PNV5" s="138"/>
      <c r="PNW5" s="138"/>
      <c r="PNX5" s="138"/>
      <c r="PNY5" s="138"/>
      <c r="PNZ5" s="138"/>
      <c r="POA5" s="138"/>
      <c r="POB5" s="138"/>
      <c r="POC5" s="138"/>
      <c r="POD5" s="138"/>
      <c r="POE5" s="138"/>
      <c r="POF5" s="138"/>
      <c r="POG5" s="138"/>
      <c r="POH5" s="138"/>
      <c r="POI5" s="138"/>
      <c r="POJ5" s="138"/>
      <c r="POK5" s="138"/>
      <c r="POL5" s="138"/>
      <c r="POM5" s="138"/>
      <c r="PON5" s="138"/>
      <c r="POO5" s="138"/>
      <c r="POP5" s="138"/>
      <c r="POQ5" s="138"/>
      <c r="POR5" s="138"/>
      <c r="POS5" s="138"/>
      <c r="POT5" s="138"/>
      <c r="POU5" s="138"/>
      <c r="POV5" s="138"/>
      <c r="POW5" s="138"/>
      <c r="POX5" s="138"/>
      <c r="POY5" s="138"/>
      <c r="POZ5" s="138"/>
      <c r="PPA5" s="138"/>
      <c r="PPB5" s="138"/>
      <c r="PPC5" s="138"/>
      <c r="PPD5" s="138"/>
      <c r="PPE5" s="138"/>
      <c r="PPF5" s="138"/>
      <c r="PPG5" s="138"/>
      <c r="PPH5" s="138"/>
      <c r="PPI5" s="138"/>
      <c r="PPJ5" s="138"/>
      <c r="PPK5" s="138"/>
      <c r="PPL5" s="138"/>
      <c r="PPM5" s="138"/>
      <c r="PPN5" s="138"/>
      <c r="PPO5" s="138"/>
      <c r="PPP5" s="138"/>
      <c r="PPQ5" s="138"/>
      <c r="PPR5" s="138"/>
      <c r="PPS5" s="138"/>
      <c r="PPT5" s="138"/>
      <c r="PPU5" s="138"/>
      <c r="PPV5" s="138"/>
      <c r="PPW5" s="138"/>
      <c r="PPX5" s="138"/>
      <c r="PPY5" s="138"/>
      <c r="PPZ5" s="138"/>
      <c r="PQA5" s="138"/>
      <c r="PQB5" s="138"/>
      <c r="PQC5" s="138"/>
      <c r="PQD5" s="138"/>
      <c r="PQE5" s="138"/>
      <c r="PQF5" s="138"/>
      <c r="PQG5" s="138"/>
      <c r="PQH5" s="138"/>
      <c r="PQI5" s="138"/>
      <c r="PQJ5" s="138"/>
      <c r="PQK5" s="138"/>
      <c r="PQL5" s="138"/>
      <c r="PQM5" s="138"/>
      <c r="PQN5" s="138"/>
      <c r="PQO5" s="138"/>
      <c r="PQP5" s="138"/>
      <c r="PQQ5" s="138"/>
      <c r="PQR5" s="138"/>
      <c r="PQS5" s="138"/>
      <c r="PQT5" s="138"/>
      <c r="PQU5" s="138"/>
      <c r="PQV5" s="138"/>
      <c r="PQW5" s="138"/>
      <c r="PQX5" s="138"/>
      <c r="PQY5" s="138"/>
      <c r="PQZ5" s="138"/>
      <c r="PRA5" s="138"/>
      <c r="PRB5" s="138"/>
      <c r="PRC5" s="138"/>
      <c r="PRD5" s="138"/>
      <c r="PRE5" s="138"/>
      <c r="PRF5" s="138"/>
      <c r="PRG5" s="138"/>
      <c r="PRH5" s="138"/>
      <c r="PRI5" s="138"/>
      <c r="PRJ5" s="138"/>
      <c r="PRK5" s="138"/>
      <c r="PRL5" s="138"/>
      <c r="PRM5" s="138"/>
      <c r="PRN5" s="138"/>
      <c r="PRO5" s="138"/>
      <c r="PRP5" s="138"/>
      <c r="PRQ5" s="138"/>
      <c r="PRR5" s="138"/>
      <c r="PRS5" s="138"/>
      <c r="PRT5" s="138"/>
      <c r="PRU5" s="138"/>
      <c r="PRV5" s="138"/>
      <c r="PRW5" s="138"/>
      <c r="PRX5" s="138"/>
      <c r="PRY5" s="138"/>
      <c r="PRZ5" s="138"/>
      <c r="PSA5" s="138"/>
      <c r="PSB5" s="138"/>
      <c r="PSC5" s="138"/>
      <c r="PSD5" s="138"/>
      <c r="PSE5" s="138"/>
      <c r="PSF5" s="138"/>
      <c r="PSG5" s="138"/>
      <c r="PSH5" s="138"/>
      <c r="PSI5" s="138"/>
      <c r="PSJ5" s="138"/>
      <c r="PSK5" s="138"/>
      <c r="PSL5" s="138"/>
      <c r="PSM5" s="138"/>
      <c r="PSN5" s="138"/>
      <c r="PSO5" s="138"/>
      <c r="PSP5" s="138"/>
      <c r="PSQ5" s="138"/>
      <c r="PSR5" s="138"/>
      <c r="PSS5" s="138"/>
      <c r="PST5" s="138"/>
      <c r="PSU5" s="138"/>
      <c r="PSV5" s="138"/>
      <c r="PSW5" s="138"/>
      <c r="PSX5" s="138"/>
      <c r="PSY5" s="138"/>
      <c r="PSZ5" s="138"/>
      <c r="PTA5" s="138"/>
      <c r="PTB5" s="138"/>
      <c r="PTC5" s="138"/>
      <c r="PTD5" s="138"/>
      <c r="PTE5" s="138"/>
      <c r="PTF5" s="138"/>
      <c r="PTG5" s="138"/>
      <c r="PTH5" s="138"/>
      <c r="PTI5" s="138"/>
      <c r="PTJ5" s="138"/>
      <c r="PTK5" s="138"/>
      <c r="PTL5" s="138"/>
      <c r="PTM5" s="138"/>
      <c r="PTN5" s="138"/>
      <c r="PTO5" s="138"/>
      <c r="PTP5" s="138"/>
      <c r="PTQ5" s="138"/>
      <c r="PTR5" s="138"/>
      <c r="PTS5" s="138"/>
      <c r="PTT5" s="138"/>
      <c r="PTU5" s="138"/>
      <c r="PTV5" s="138"/>
      <c r="PTW5" s="138"/>
      <c r="PTX5" s="138"/>
      <c r="PTY5" s="138"/>
      <c r="PTZ5" s="138"/>
      <c r="PUA5" s="138"/>
      <c r="PUB5" s="138"/>
      <c r="PUC5" s="138"/>
      <c r="PUD5" s="138"/>
      <c r="PUE5" s="138"/>
      <c r="PUF5" s="138"/>
      <c r="PUG5" s="138"/>
      <c r="PUH5" s="138"/>
      <c r="PUI5" s="138"/>
      <c r="PUJ5" s="138"/>
      <c r="PUK5" s="138"/>
      <c r="PUL5" s="138"/>
      <c r="PUM5" s="138"/>
      <c r="PUN5" s="138"/>
      <c r="PUO5" s="138"/>
      <c r="PUP5" s="138"/>
      <c r="PUQ5" s="138"/>
      <c r="PUR5" s="138"/>
      <c r="PUS5" s="138"/>
      <c r="PUT5" s="138"/>
      <c r="PUU5" s="138"/>
      <c r="PUV5" s="138"/>
      <c r="PUW5" s="138"/>
      <c r="PUX5" s="138"/>
      <c r="PUY5" s="138"/>
      <c r="PUZ5" s="138"/>
      <c r="PVA5" s="138"/>
      <c r="PVB5" s="138"/>
      <c r="PVC5" s="138"/>
      <c r="PVD5" s="138"/>
      <c r="PVE5" s="138"/>
      <c r="PVF5" s="138"/>
      <c r="PVG5" s="138"/>
      <c r="PVH5" s="138"/>
      <c r="PVI5" s="138"/>
      <c r="PVJ5" s="138"/>
      <c r="PVK5" s="138"/>
      <c r="PVL5" s="138"/>
      <c r="PVM5" s="138"/>
      <c r="PVN5" s="138"/>
      <c r="PVO5" s="138"/>
      <c r="PVP5" s="138"/>
      <c r="PVQ5" s="138"/>
      <c r="PVR5" s="138"/>
      <c r="PVS5" s="138"/>
      <c r="PVT5" s="138"/>
      <c r="PVU5" s="138"/>
      <c r="PVV5" s="138"/>
      <c r="PVW5" s="138"/>
      <c r="PVX5" s="138"/>
      <c r="PVY5" s="138"/>
      <c r="PVZ5" s="138"/>
      <c r="PWA5" s="138"/>
      <c r="PWB5" s="138"/>
      <c r="PWC5" s="138"/>
      <c r="PWD5" s="138"/>
      <c r="PWE5" s="138"/>
      <c r="PWF5" s="138"/>
      <c r="PWG5" s="138"/>
      <c r="PWH5" s="138"/>
      <c r="PWI5" s="138"/>
      <c r="PWJ5" s="138"/>
      <c r="PWK5" s="138"/>
      <c r="PWL5" s="138"/>
      <c r="PWM5" s="138"/>
      <c r="PWN5" s="138"/>
      <c r="PWO5" s="138"/>
      <c r="PWP5" s="138"/>
      <c r="PWQ5" s="138"/>
      <c r="PWR5" s="138"/>
      <c r="PWS5" s="138"/>
      <c r="PWT5" s="138"/>
      <c r="PWU5" s="138"/>
      <c r="PWV5" s="138"/>
      <c r="PWW5" s="138"/>
      <c r="PWX5" s="138"/>
      <c r="PWY5" s="138"/>
      <c r="PWZ5" s="138"/>
      <c r="PXA5" s="138"/>
      <c r="PXB5" s="138"/>
      <c r="PXC5" s="138"/>
      <c r="PXD5" s="138"/>
      <c r="PXE5" s="138"/>
      <c r="PXF5" s="138"/>
      <c r="PXG5" s="138"/>
      <c r="PXH5" s="138"/>
      <c r="PXI5" s="138"/>
      <c r="PXJ5" s="138"/>
      <c r="PXK5" s="138"/>
      <c r="PXL5" s="138"/>
      <c r="PXM5" s="138"/>
      <c r="PXN5" s="138"/>
      <c r="PXO5" s="138"/>
      <c r="PXP5" s="138"/>
      <c r="PXQ5" s="138"/>
      <c r="PXR5" s="138"/>
      <c r="PXS5" s="138"/>
      <c r="PXT5" s="138"/>
      <c r="PXU5" s="138"/>
      <c r="PXV5" s="138"/>
      <c r="PXW5" s="138"/>
      <c r="PXX5" s="138"/>
      <c r="PXY5" s="138"/>
      <c r="PXZ5" s="138"/>
      <c r="PYA5" s="138"/>
      <c r="PYB5" s="138"/>
      <c r="PYC5" s="138"/>
      <c r="PYD5" s="138"/>
      <c r="PYE5" s="138"/>
      <c r="PYF5" s="138"/>
      <c r="PYG5" s="138"/>
      <c r="PYH5" s="138"/>
      <c r="PYI5" s="138"/>
      <c r="PYJ5" s="138"/>
      <c r="PYK5" s="138"/>
      <c r="PYL5" s="138"/>
      <c r="PYM5" s="138"/>
      <c r="PYN5" s="138"/>
      <c r="PYO5" s="138"/>
      <c r="PYP5" s="138"/>
      <c r="PYQ5" s="138"/>
      <c r="PYR5" s="138"/>
      <c r="PYS5" s="138"/>
      <c r="PYT5" s="138"/>
      <c r="PYU5" s="138"/>
      <c r="PYV5" s="138"/>
      <c r="PYW5" s="138"/>
      <c r="PYX5" s="138"/>
      <c r="PYY5" s="138"/>
      <c r="PYZ5" s="138"/>
      <c r="PZA5" s="138"/>
      <c r="PZB5" s="138"/>
      <c r="PZC5" s="138"/>
      <c r="PZD5" s="138"/>
      <c r="PZE5" s="138"/>
      <c r="PZF5" s="138"/>
      <c r="PZG5" s="138"/>
      <c r="PZH5" s="138"/>
      <c r="PZI5" s="138"/>
      <c r="PZJ5" s="138"/>
      <c r="PZK5" s="138"/>
      <c r="PZL5" s="138"/>
      <c r="PZM5" s="138"/>
      <c r="PZN5" s="138"/>
      <c r="PZO5" s="138"/>
      <c r="PZP5" s="138"/>
      <c r="PZQ5" s="138"/>
      <c r="PZR5" s="138"/>
      <c r="PZS5" s="138"/>
      <c r="PZT5" s="138"/>
      <c r="PZU5" s="138"/>
      <c r="PZV5" s="138"/>
      <c r="PZW5" s="138"/>
      <c r="PZX5" s="138"/>
      <c r="PZY5" s="138"/>
      <c r="PZZ5" s="138"/>
      <c r="QAA5" s="138"/>
      <c r="QAB5" s="138"/>
      <c r="QAC5" s="138"/>
      <c r="QAD5" s="138"/>
      <c r="QAE5" s="138"/>
      <c r="QAF5" s="138"/>
      <c r="QAG5" s="138"/>
      <c r="QAH5" s="138"/>
      <c r="QAI5" s="138"/>
      <c r="QAJ5" s="138"/>
      <c r="QAK5" s="138"/>
      <c r="QAL5" s="138"/>
      <c r="QAM5" s="138"/>
      <c r="QAN5" s="138"/>
      <c r="QAO5" s="138"/>
      <c r="QAP5" s="138"/>
      <c r="QAQ5" s="138"/>
      <c r="QAR5" s="138"/>
      <c r="QAS5" s="138"/>
      <c r="QAT5" s="138"/>
      <c r="QAU5" s="138"/>
      <c r="QAV5" s="138"/>
      <c r="QAW5" s="138"/>
      <c r="QAX5" s="138"/>
      <c r="QAY5" s="138"/>
      <c r="QAZ5" s="138"/>
      <c r="QBA5" s="138"/>
      <c r="QBB5" s="138"/>
      <c r="QBC5" s="138"/>
      <c r="QBD5" s="138"/>
      <c r="QBE5" s="138"/>
      <c r="QBF5" s="138"/>
      <c r="QBG5" s="138"/>
      <c r="QBH5" s="138"/>
      <c r="QBI5" s="138"/>
      <c r="QBJ5" s="138"/>
      <c r="QBK5" s="138"/>
      <c r="QBL5" s="138"/>
      <c r="QBM5" s="138"/>
      <c r="QBN5" s="138"/>
      <c r="QBO5" s="138"/>
      <c r="QBP5" s="138"/>
      <c r="QBQ5" s="138"/>
      <c r="QBR5" s="138"/>
      <c r="QBS5" s="138"/>
      <c r="QBT5" s="138"/>
      <c r="QBU5" s="138"/>
      <c r="QBV5" s="138"/>
      <c r="QBW5" s="138"/>
      <c r="QBX5" s="138"/>
      <c r="QBY5" s="138"/>
      <c r="QBZ5" s="138"/>
      <c r="QCA5" s="138"/>
      <c r="QCB5" s="138"/>
      <c r="QCC5" s="138"/>
      <c r="QCD5" s="138"/>
      <c r="QCE5" s="138"/>
      <c r="QCF5" s="138"/>
      <c r="QCG5" s="138"/>
      <c r="QCH5" s="138"/>
      <c r="QCI5" s="138"/>
      <c r="QCJ5" s="138"/>
      <c r="QCK5" s="138"/>
      <c r="QCL5" s="138"/>
      <c r="QCM5" s="138"/>
      <c r="QCN5" s="138"/>
      <c r="QCO5" s="138"/>
      <c r="QCP5" s="138"/>
      <c r="QCQ5" s="138"/>
      <c r="QCR5" s="138"/>
      <c r="QCS5" s="138"/>
      <c r="QCT5" s="138"/>
      <c r="QCU5" s="138"/>
      <c r="QCV5" s="138"/>
      <c r="QCW5" s="138"/>
      <c r="QCX5" s="138"/>
      <c r="QCY5" s="138"/>
      <c r="QCZ5" s="138"/>
      <c r="QDA5" s="138"/>
      <c r="QDB5" s="138"/>
      <c r="QDC5" s="138"/>
      <c r="QDD5" s="138"/>
      <c r="QDE5" s="138"/>
      <c r="QDF5" s="138"/>
      <c r="QDG5" s="138"/>
      <c r="QDH5" s="138"/>
      <c r="QDI5" s="138"/>
      <c r="QDJ5" s="138"/>
      <c r="QDK5" s="138"/>
      <c r="QDL5" s="138"/>
      <c r="QDM5" s="138"/>
      <c r="QDN5" s="138"/>
      <c r="QDO5" s="138"/>
      <c r="QDP5" s="138"/>
      <c r="QDQ5" s="138"/>
      <c r="QDR5" s="138"/>
      <c r="QDS5" s="138"/>
      <c r="QDT5" s="138"/>
      <c r="QDU5" s="138"/>
      <c r="QDV5" s="138"/>
      <c r="QDW5" s="138"/>
      <c r="QDX5" s="138"/>
      <c r="QDY5" s="138"/>
      <c r="QDZ5" s="138"/>
      <c r="QEA5" s="138"/>
      <c r="QEB5" s="138"/>
      <c r="QEC5" s="138"/>
      <c r="QED5" s="138"/>
      <c r="QEE5" s="138"/>
      <c r="QEF5" s="138"/>
      <c r="QEG5" s="138"/>
      <c r="QEH5" s="138"/>
      <c r="QEI5" s="138"/>
      <c r="QEJ5" s="138"/>
      <c r="QEK5" s="138"/>
      <c r="QEL5" s="138"/>
      <c r="QEM5" s="138"/>
      <c r="QEN5" s="138"/>
      <c r="QEO5" s="138"/>
      <c r="QEP5" s="138"/>
      <c r="QEQ5" s="138"/>
      <c r="QER5" s="138"/>
      <c r="QES5" s="138"/>
      <c r="QET5" s="138"/>
      <c r="QEU5" s="138"/>
      <c r="QEV5" s="138"/>
      <c r="QEW5" s="138"/>
      <c r="QEX5" s="138"/>
      <c r="QEY5" s="138"/>
      <c r="QEZ5" s="138"/>
      <c r="QFA5" s="138"/>
      <c r="QFB5" s="138"/>
      <c r="QFC5" s="138"/>
      <c r="QFD5" s="138"/>
      <c r="QFE5" s="138"/>
      <c r="QFF5" s="138"/>
      <c r="QFG5" s="138"/>
      <c r="QFH5" s="138"/>
      <c r="QFI5" s="138"/>
      <c r="QFJ5" s="138"/>
      <c r="QFK5" s="138"/>
      <c r="QFL5" s="138"/>
      <c r="QFM5" s="138"/>
      <c r="QFN5" s="138"/>
      <c r="QFO5" s="138"/>
      <c r="QFP5" s="138"/>
      <c r="QFQ5" s="138"/>
      <c r="QFR5" s="138"/>
      <c r="QFS5" s="138"/>
      <c r="QFT5" s="138"/>
      <c r="QFU5" s="138"/>
      <c r="QFV5" s="138"/>
      <c r="QFW5" s="138"/>
      <c r="QFX5" s="138"/>
      <c r="QFY5" s="138"/>
      <c r="QFZ5" s="138"/>
      <c r="QGA5" s="138"/>
      <c r="QGB5" s="138"/>
      <c r="QGC5" s="138"/>
      <c r="QGD5" s="138"/>
      <c r="QGE5" s="138"/>
      <c r="QGF5" s="138"/>
      <c r="QGG5" s="138"/>
      <c r="QGH5" s="138"/>
      <c r="QGI5" s="138"/>
      <c r="QGJ5" s="138"/>
      <c r="QGK5" s="138"/>
      <c r="QGL5" s="138"/>
      <c r="QGM5" s="138"/>
      <c r="QGN5" s="138"/>
      <c r="QGO5" s="138"/>
      <c r="QGP5" s="138"/>
      <c r="QGQ5" s="138"/>
      <c r="QGR5" s="138"/>
      <c r="QGS5" s="138"/>
      <c r="QGT5" s="138"/>
      <c r="QGU5" s="138"/>
      <c r="QGV5" s="138"/>
      <c r="QGW5" s="138"/>
      <c r="QGX5" s="138"/>
      <c r="QGY5" s="138"/>
      <c r="QGZ5" s="138"/>
      <c r="QHA5" s="138"/>
      <c r="QHB5" s="138"/>
      <c r="QHC5" s="138"/>
      <c r="QHD5" s="138"/>
      <c r="QHE5" s="138"/>
      <c r="QHF5" s="138"/>
      <c r="QHG5" s="138"/>
      <c r="QHH5" s="138"/>
      <c r="QHI5" s="138"/>
      <c r="QHJ5" s="138"/>
      <c r="QHK5" s="138"/>
      <c r="QHL5" s="138"/>
      <c r="QHM5" s="138"/>
      <c r="QHN5" s="138"/>
      <c r="QHO5" s="138"/>
      <c r="QHP5" s="138"/>
      <c r="QHQ5" s="138"/>
      <c r="QHR5" s="138"/>
      <c r="QHS5" s="138"/>
      <c r="QHT5" s="138"/>
      <c r="QHU5" s="138"/>
      <c r="QHV5" s="138"/>
      <c r="QHW5" s="138"/>
      <c r="QHX5" s="138"/>
      <c r="QHY5" s="138"/>
      <c r="QHZ5" s="138"/>
      <c r="QIA5" s="138"/>
      <c r="QIB5" s="138"/>
      <c r="QIC5" s="138"/>
      <c r="QID5" s="138"/>
      <c r="QIE5" s="138"/>
      <c r="QIF5" s="138"/>
      <c r="QIG5" s="138"/>
      <c r="QIH5" s="138"/>
      <c r="QII5" s="138"/>
      <c r="QIJ5" s="138"/>
      <c r="QIK5" s="138"/>
      <c r="QIL5" s="138"/>
      <c r="QIM5" s="138"/>
      <c r="QIN5" s="138"/>
      <c r="QIO5" s="138"/>
      <c r="QIP5" s="138"/>
      <c r="QIQ5" s="138"/>
      <c r="QIR5" s="138"/>
      <c r="QIS5" s="138"/>
      <c r="QIT5" s="138"/>
      <c r="QIU5" s="138"/>
      <c r="QIV5" s="138"/>
      <c r="QIW5" s="138"/>
      <c r="QIX5" s="138"/>
      <c r="QIY5" s="138"/>
      <c r="QIZ5" s="138"/>
      <c r="QJA5" s="138"/>
      <c r="QJB5" s="138"/>
      <c r="QJC5" s="138"/>
      <c r="QJD5" s="138"/>
      <c r="QJE5" s="138"/>
      <c r="QJF5" s="138"/>
      <c r="QJG5" s="138"/>
      <c r="QJH5" s="138"/>
      <c r="QJI5" s="138"/>
      <c r="QJJ5" s="138"/>
      <c r="QJK5" s="138"/>
      <c r="QJL5" s="138"/>
      <c r="QJM5" s="138"/>
      <c r="QJN5" s="138"/>
      <c r="QJO5" s="138"/>
      <c r="QJP5" s="138"/>
      <c r="QJQ5" s="138"/>
      <c r="QJR5" s="138"/>
      <c r="QJS5" s="138"/>
      <c r="QJT5" s="138"/>
      <c r="QJU5" s="138"/>
      <c r="QJV5" s="138"/>
      <c r="QJW5" s="138"/>
      <c r="QJX5" s="138"/>
      <c r="QJY5" s="138"/>
      <c r="QJZ5" s="138"/>
      <c r="QKA5" s="138"/>
      <c r="QKB5" s="138"/>
      <c r="QKC5" s="138"/>
      <c r="QKD5" s="138"/>
      <c r="QKE5" s="138"/>
      <c r="QKF5" s="138"/>
      <c r="QKG5" s="138"/>
      <c r="QKH5" s="138"/>
      <c r="QKI5" s="138"/>
      <c r="QKJ5" s="138"/>
      <c r="QKK5" s="138"/>
      <c r="QKL5" s="138"/>
      <c r="QKM5" s="138"/>
      <c r="QKN5" s="138"/>
      <c r="QKO5" s="138"/>
      <c r="QKP5" s="138"/>
      <c r="QKQ5" s="138"/>
      <c r="QKR5" s="138"/>
      <c r="QKS5" s="138"/>
      <c r="QKT5" s="138"/>
      <c r="QKU5" s="138"/>
      <c r="QKV5" s="138"/>
      <c r="QKW5" s="138"/>
      <c r="QKX5" s="138"/>
      <c r="QKY5" s="138"/>
      <c r="QKZ5" s="138"/>
      <c r="QLA5" s="138"/>
      <c r="QLB5" s="138"/>
      <c r="QLC5" s="138"/>
      <c r="QLD5" s="138"/>
      <c r="QLE5" s="138"/>
      <c r="QLF5" s="138"/>
      <c r="QLG5" s="138"/>
      <c r="QLH5" s="138"/>
      <c r="QLI5" s="138"/>
      <c r="QLJ5" s="138"/>
      <c r="QLK5" s="138"/>
      <c r="QLL5" s="138"/>
      <c r="QLM5" s="138"/>
      <c r="QLN5" s="138"/>
      <c r="QLO5" s="138"/>
      <c r="QLP5" s="138"/>
      <c r="QLQ5" s="138"/>
      <c r="QLR5" s="138"/>
      <c r="QLS5" s="138"/>
      <c r="QLT5" s="138"/>
      <c r="QLU5" s="138"/>
      <c r="QLV5" s="138"/>
      <c r="QLW5" s="138"/>
      <c r="QLX5" s="138"/>
      <c r="QLY5" s="138"/>
      <c r="QLZ5" s="138"/>
      <c r="QMA5" s="138"/>
      <c r="QMB5" s="138"/>
      <c r="QMC5" s="138"/>
      <c r="QMD5" s="138"/>
      <c r="QME5" s="138"/>
      <c r="QMF5" s="138"/>
      <c r="QMG5" s="138"/>
      <c r="QMH5" s="138"/>
      <c r="QMI5" s="138"/>
      <c r="QMJ5" s="138"/>
      <c r="QMK5" s="138"/>
      <c r="QML5" s="138"/>
      <c r="QMM5" s="138"/>
      <c r="QMN5" s="138"/>
      <c r="QMO5" s="138"/>
      <c r="QMP5" s="138"/>
      <c r="QMQ5" s="138"/>
      <c r="QMR5" s="138"/>
      <c r="QMS5" s="138"/>
      <c r="QMT5" s="138"/>
      <c r="QMU5" s="138"/>
      <c r="QMV5" s="138"/>
      <c r="QMW5" s="138"/>
      <c r="QMX5" s="138"/>
      <c r="QMY5" s="138"/>
      <c r="QMZ5" s="138"/>
      <c r="QNA5" s="138"/>
      <c r="QNB5" s="138"/>
      <c r="QNC5" s="138"/>
      <c r="QND5" s="138"/>
      <c r="QNE5" s="138"/>
      <c r="QNF5" s="138"/>
      <c r="QNG5" s="138"/>
      <c r="QNH5" s="138"/>
      <c r="QNI5" s="138"/>
      <c r="QNJ5" s="138"/>
      <c r="QNK5" s="138"/>
      <c r="QNL5" s="138"/>
      <c r="QNM5" s="138"/>
      <c r="QNN5" s="138"/>
      <c r="QNO5" s="138"/>
      <c r="QNP5" s="138"/>
      <c r="QNQ5" s="138"/>
      <c r="QNR5" s="138"/>
      <c r="QNS5" s="138"/>
      <c r="QNT5" s="138"/>
      <c r="QNU5" s="138"/>
      <c r="QNV5" s="138"/>
      <c r="QNW5" s="138"/>
      <c r="QNX5" s="138"/>
      <c r="QNY5" s="138"/>
      <c r="QNZ5" s="138"/>
      <c r="QOA5" s="138"/>
      <c r="QOB5" s="138"/>
      <c r="QOC5" s="138"/>
      <c r="QOD5" s="138"/>
      <c r="QOE5" s="138"/>
      <c r="QOF5" s="138"/>
      <c r="QOG5" s="138"/>
      <c r="QOH5" s="138"/>
      <c r="QOI5" s="138"/>
      <c r="QOJ5" s="138"/>
      <c r="QOK5" s="138"/>
      <c r="QOL5" s="138"/>
      <c r="QOM5" s="138"/>
      <c r="QON5" s="138"/>
      <c r="QOO5" s="138"/>
      <c r="QOP5" s="138"/>
      <c r="QOQ5" s="138"/>
      <c r="QOR5" s="138"/>
      <c r="QOS5" s="138"/>
      <c r="QOT5" s="138"/>
      <c r="QOU5" s="138"/>
      <c r="QOV5" s="138"/>
      <c r="QOW5" s="138"/>
      <c r="QOX5" s="138"/>
      <c r="QOY5" s="138"/>
      <c r="QOZ5" s="138"/>
      <c r="QPA5" s="138"/>
      <c r="QPB5" s="138"/>
      <c r="QPC5" s="138"/>
      <c r="QPD5" s="138"/>
      <c r="QPE5" s="138"/>
      <c r="QPF5" s="138"/>
      <c r="QPG5" s="138"/>
      <c r="QPH5" s="138"/>
      <c r="QPI5" s="138"/>
      <c r="QPJ5" s="138"/>
      <c r="QPK5" s="138"/>
      <c r="QPL5" s="138"/>
      <c r="QPM5" s="138"/>
      <c r="QPN5" s="138"/>
      <c r="QPO5" s="138"/>
      <c r="QPP5" s="138"/>
      <c r="QPQ5" s="138"/>
      <c r="QPR5" s="138"/>
      <c r="QPS5" s="138"/>
      <c r="QPT5" s="138"/>
      <c r="QPU5" s="138"/>
      <c r="QPV5" s="138"/>
      <c r="QPW5" s="138"/>
      <c r="QPX5" s="138"/>
      <c r="QPY5" s="138"/>
      <c r="QPZ5" s="138"/>
      <c r="QQA5" s="138"/>
      <c r="QQB5" s="138"/>
      <c r="QQC5" s="138"/>
      <c r="QQD5" s="138"/>
      <c r="QQE5" s="138"/>
      <c r="QQF5" s="138"/>
      <c r="QQG5" s="138"/>
      <c r="QQH5" s="138"/>
      <c r="QQI5" s="138"/>
      <c r="QQJ5" s="138"/>
      <c r="QQK5" s="138"/>
      <c r="QQL5" s="138"/>
      <c r="QQM5" s="138"/>
      <c r="QQN5" s="138"/>
      <c r="QQO5" s="138"/>
      <c r="QQP5" s="138"/>
      <c r="QQQ5" s="138"/>
      <c r="QQR5" s="138"/>
      <c r="QQS5" s="138"/>
      <c r="QQT5" s="138"/>
      <c r="QQU5" s="138"/>
      <c r="QQV5" s="138"/>
      <c r="QQW5" s="138"/>
      <c r="QQX5" s="138"/>
      <c r="QQY5" s="138"/>
      <c r="QQZ5" s="138"/>
      <c r="QRA5" s="138"/>
      <c r="QRB5" s="138"/>
      <c r="QRC5" s="138"/>
      <c r="QRD5" s="138"/>
      <c r="QRE5" s="138"/>
      <c r="QRF5" s="138"/>
      <c r="QRG5" s="138"/>
      <c r="QRH5" s="138"/>
      <c r="QRI5" s="138"/>
      <c r="QRJ5" s="138"/>
      <c r="QRK5" s="138"/>
      <c r="QRL5" s="138"/>
      <c r="QRM5" s="138"/>
      <c r="QRN5" s="138"/>
      <c r="QRO5" s="138"/>
      <c r="QRP5" s="138"/>
      <c r="QRQ5" s="138"/>
      <c r="QRR5" s="138"/>
      <c r="QRS5" s="138"/>
      <c r="QRT5" s="138"/>
      <c r="QRU5" s="138"/>
      <c r="QRV5" s="138"/>
      <c r="QRW5" s="138"/>
      <c r="QRX5" s="138"/>
      <c r="QRY5" s="138"/>
      <c r="QRZ5" s="138"/>
      <c r="QSA5" s="138"/>
      <c r="QSB5" s="138"/>
      <c r="QSC5" s="138"/>
      <c r="QSD5" s="138"/>
      <c r="QSE5" s="138"/>
      <c r="QSF5" s="138"/>
      <c r="QSG5" s="138"/>
      <c r="QSH5" s="138"/>
      <c r="QSI5" s="138"/>
      <c r="QSJ5" s="138"/>
      <c r="QSK5" s="138"/>
      <c r="QSL5" s="138"/>
      <c r="QSM5" s="138"/>
      <c r="QSN5" s="138"/>
      <c r="QSO5" s="138"/>
      <c r="QSP5" s="138"/>
      <c r="QSQ5" s="138"/>
      <c r="QSR5" s="138"/>
      <c r="QSS5" s="138"/>
      <c r="QST5" s="138"/>
      <c r="QSU5" s="138"/>
      <c r="QSV5" s="138"/>
      <c r="QSW5" s="138"/>
      <c r="QSX5" s="138"/>
      <c r="QSY5" s="138"/>
      <c r="QSZ5" s="138"/>
      <c r="QTA5" s="138"/>
      <c r="QTB5" s="138"/>
      <c r="QTC5" s="138"/>
      <c r="QTD5" s="138"/>
      <c r="QTE5" s="138"/>
      <c r="QTF5" s="138"/>
      <c r="QTG5" s="138"/>
      <c r="QTH5" s="138"/>
      <c r="QTI5" s="138"/>
      <c r="QTJ5" s="138"/>
      <c r="QTK5" s="138"/>
      <c r="QTL5" s="138"/>
      <c r="QTM5" s="138"/>
      <c r="QTN5" s="138"/>
      <c r="QTO5" s="138"/>
      <c r="QTP5" s="138"/>
      <c r="QTQ5" s="138"/>
      <c r="QTR5" s="138"/>
      <c r="QTS5" s="138"/>
      <c r="QTT5" s="138"/>
      <c r="QTU5" s="138"/>
      <c r="QTV5" s="138"/>
      <c r="QTW5" s="138"/>
      <c r="QTX5" s="138"/>
      <c r="QTY5" s="138"/>
      <c r="QTZ5" s="138"/>
      <c r="QUA5" s="138"/>
      <c r="QUB5" s="138"/>
      <c r="QUC5" s="138"/>
      <c r="QUD5" s="138"/>
      <c r="QUE5" s="138"/>
      <c r="QUF5" s="138"/>
      <c r="QUG5" s="138"/>
      <c r="QUH5" s="138"/>
      <c r="QUI5" s="138"/>
      <c r="QUJ5" s="138"/>
      <c r="QUK5" s="138"/>
      <c r="QUL5" s="138"/>
      <c r="QUM5" s="138"/>
      <c r="QUN5" s="138"/>
      <c r="QUO5" s="138"/>
      <c r="QUP5" s="138"/>
      <c r="QUQ5" s="138"/>
      <c r="QUR5" s="138"/>
      <c r="QUS5" s="138"/>
      <c r="QUT5" s="138"/>
      <c r="QUU5" s="138"/>
      <c r="QUV5" s="138"/>
      <c r="QUW5" s="138"/>
      <c r="QUX5" s="138"/>
      <c r="QUY5" s="138"/>
      <c r="QUZ5" s="138"/>
      <c r="QVA5" s="138"/>
      <c r="QVB5" s="138"/>
      <c r="QVC5" s="138"/>
      <c r="QVD5" s="138"/>
      <c r="QVE5" s="138"/>
      <c r="QVF5" s="138"/>
      <c r="QVG5" s="138"/>
      <c r="QVH5" s="138"/>
      <c r="QVI5" s="138"/>
      <c r="QVJ5" s="138"/>
      <c r="QVK5" s="138"/>
      <c r="QVL5" s="138"/>
      <c r="QVM5" s="138"/>
      <c r="QVN5" s="138"/>
      <c r="QVO5" s="138"/>
      <c r="QVP5" s="138"/>
      <c r="QVQ5" s="138"/>
      <c r="QVR5" s="138"/>
      <c r="QVS5" s="138"/>
      <c r="QVT5" s="138"/>
      <c r="QVU5" s="138"/>
      <c r="QVV5" s="138"/>
      <c r="QVW5" s="138"/>
      <c r="QVX5" s="138"/>
      <c r="QVY5" s="138"/>
      <c r="QVZ5" s="138"/>
      <c r="QWA5" s="138"/>
      <c r="QWB5" s="138"/>
      <c r="QWC5" s="138"/>
      <c r="QWD5" s="138"/>
      <c r="QWE5" s="138"/>
      <c r="QWF5" s="138"/>
      <c r="QWG5" s="138"/>
      <c r="QWH5" s="138"/>
      <c r="QWI5" s="138"/>
      <c r="QWJ5" s="138"/>
      <c r="QWK5" s="138"/>
      <c r="QWL5" s="138"/>
      <c r="QWM5" s="138"/>
      <c r="QWN5" s="138"/>
      <c r="QWO5" s="138"/>
      <c r="QWP5" s="138"/>
      <c r="QWQ5" s="138"/>
      <c r="QWR5" s="138"/>
      <c r="QWS5" s="138"/>
      <c r="QWT5" s="138"/>
      <c r="QWU5" s="138"/>
      <c r="QWV5" s="138"/>
      <c r="QWW5" s="138"/>
      <c r="QWX5" s="138"/>
      <c r="QWY5" s="138"/>
      <c r="QWZ5" s="138"/>
      <c r="QXA5" s="138"/>
      <c r="QXB5" s="138"/>
      <c r="QXC5" s="138"/>
      <c r="QXD5" s="138"/>
      <c r="QXE5" s="138"/>
      <c r="QXF5" s="138"/>
      <c r="QXG5" s="138"/>
      <c r="QXH5" s="138"/>
      <c r="QXI5" s="138"/>
      <c r="QXJ5" s="138"/>
      <c r="QXK5" s="138"/>
      <c r="QXL5" s="138"/>
      <c r="QXM5" s="138"/>
      <c r="QXN5" s="138"/>
      <c r="QXO5" s="138"/>
      <c r="QXP5" s="138"/>
      <c r="QXQ5" s="138"/>
      <c r="QXR5" s="138"/>
      <c r="QXS5" s="138"/>
      <c r="QXT5" s="138"/>
      <c r="QXU5" s="138"/>
      <c r="QXV5" s="138"/>
      <c r="QXW5" s="138"/>
      <c r="QXX5" s="138"/>
      <c r="QXY5" s="138"/>
      <c r="QXZ5" s="138"/>
      <c r="QYA5" s="138"/>
      <c r="QYB5" s="138"/>
      <c r="QYC5" s="138"/>
      <c r="QYD5" s="138"/>
      <c r="QYE5" s="138"/>
      <c r="QYF5" s="138"/>
      <c r="QYG5" s="138"/>
      <c r="QYH5" s="138"/>
      <c r="QYI5" s="138"/>
      <c r="QYJ5" s="138"/>
      <c r="QYK5" s="138"/>
      <c r="QYL5" s="138"/>
      <c r="QYM5" s="138"/>
      <c r="QYN5" s="138"/>
      <c r="QYO5" s="138"/>
      <c r="QYP5" s="138"/>
      <c r="QYQ5" s="138"/>
      <c r="QYR5" s="138"/>
      <c r="QYS5" s="138"/>
      <c r="QYT5" s="138"/>
      <c r="QYU5" s="138"/>
      <c r="QYV5" s="138"/>
      <c r="QYW5" s="138"/>
      <c r="QYX5" s="138"/>
      <c r="QYY5" s="138"/>
      <c r="QYZ5" s="138"/>
      <c r="QZA5" s="138"/>
      <c r="QZB5" s="138"/>
      <c r="QZC5" s="138"/>
      <c r="QZD5" s="138"/>
      <c r="QZE5" s="138"/>
      <c r="QZF5" s="138"/>
      <c r="QZG5" s="138"/>
      <c r="QZH5" s="138"/>
      <c r="QZI5" s="138"/>
      <c r="QZJ5" s="138"/>
      <c r="QZK5" s="138"/>
      <c r="QZL5" s="138"/>
      <c r="QZM5" s="138"/>
      <c r="QZN5" s="138"/>
      <c r="QZO5" s="138"/>
      <c r="QZP5" s="138"/>
      <c r="QZQ5" s="138"/>
      <c r="QZR5" s="138"/>
      <c r="QZS5" s="138"/>
      <c r="QZT5" s="138"/>
      <c r="QZU5" s="138"/>
      <c r="QZV5" s="138"/>
      <c r="QZW5" s="138"/>
      <c r="QZX5" s="138"/>
      <c r="QZY5" s="138"/>
      <c r="QZZ5" s="138"/>
      <c r="RAA5" s="138"/>
      <c r="RAB5" s="138"/>
      <c r="RAC5" s="138"/>
      <c r="RAD5" s="138"/>
      <c r="RAE5" s="138"/>
      <c r="RAF5" s="138"/>
      <c r="RAG5" s="138"/>
      <c r="RAH5" s="138"/>
      <c r="RAI5" s="138"/>
      <c r="RAJ5" s="138"/>
      <c r="RAK5" s="138"/>
      <c r="RAL5" s="138"/>
      <c r="RAM5" s="138"/>
      <c r="RAN5" s="138"/>
      <c r="RAO5" s="138"/>
      <c r="RAP5" s="138"/>
      <c r="RAQ5" s="138"/>
      <c r="RAR5" s="138"/>
      <c r="RAS5" s="138"/>
      <c r="RAT5" s="138"/>
      <c r="RAU5" s="138"/>
      <c r="RAV5" s="138"/>
      <c r="RAW5" s="138"/>
      <c r="RAX5" s="138"/>
      <c r="RAY5" s="138"/>
      <c r="RAZ5" s="138"/>
      <c r="RBA5" s="138"/>
      <c r="RBB5" s="138"/>
      <c r="RBC5" s="138"/>
      <c r="RBD5" s="138"/>
      <c r="RBE5" s="138"/>
      <c r="RBF5" s="138"/>
      <c r="RBG5" s="138"/>
      <c r="RBH5" s="138"/>
      <c r="RBI5" s="138"/>
      <c r="RBJ5" s="138"/>
      <c r="RBK5" s="138"/>
      <c r="RBL5" s="138"/>
      <c r="RBM5" s="138"/>
      <c r="RBN5" s="138"/>
      <c r="RBO5" s="138"/>
      <c r="RBP5" s="138"/>
      <c r="RBQ5" s="138"/>
      <c r="RBR5" s="138"/>
      <c r="RBS5" s="138"/>
      <c r="RBT5" s="138"/>
      <c r="RBU5" s="138"/>
      <c r="RBV5" s="138"/>
      <c r="RBW5" s="138"/>
      <c r="RBX5" s="138"/>
      <c r="RBY5" s="138"/>
      <c r="RBZ5" s="138"/>
      <c r="RCA5" s="138"/>
      <c r="RCB5" s="138"/>
      <c r="RCC5" s="138"/>
      <c r="RCD5" s="138"/>
      <c r="RCE5" s="138"/>
      <c r="RCF5" s="138"/>
      <c r="RCG5" s="138"/>
      <c r="RCH5" s="138"/>
      <c r="RCI5" s="138"/>
      <c r="RCJ5" s="138"/>
      <c r="RCK5" s="138"/>
      <c r="RCL5" s="138"/>
      <c r="RCM5" s="138"/>
      <c r="RCN5" s="138"/>
      <c r="RCO5" s="138"/>
      <c r="RCP5" s="138"/>
      <c r="RCQ5" s="138"/>
      <c r="RCR5" s="138"/>
      <c r="RCS5" s="138"/>
      <c r="RCT5" s="138"/>
      <c r="RCU5" s="138"/>
      <c r="RCV5" s="138"/>
      <c r="RCW5" s="138"/>
      <c r="RCX5" s="138"/>
      <c r="RCY5" s="138"/>
      <c r="RCZ5" s="138"/>
      <c r="RDA5" s="138"/>
      <c r="RDB5" s="138"/>
      <c r="RDC5" s="138"/>
      <c r="RDD5" s="138"/>
      <c r="RDE5" s="138"/>
      <c r="RDF5" s="138"/>
      <c r="RDG5" s="138"/>
      <c r="RDH5" s="138"/>
      <c r="RDI5" s="138"/>
      <c r="RDJ5" s="138"/>
      <c r="RDK5" s="138"/>
      <c r="RDL5" s="138"/>
      <c r="RDM5" s="138"/>
      <c r="RDN5" s="138"/>
      <c r="RDO5" s="138"/>
      <c r="RDP5" s="138"/>
      <c r="RDQ5" s="138"/>
      <c r="RDR5" s="138"/>
      <c r="RDS5" s="138"/>
      <c r="RDT5" s="138"/>
      <c r="RDU5" s="138"/>
      <c r="RDV5" s="138"/>
      <c r="RDW5" s="138"/>
      <c r="RDX5" s="138"/>
      <c r="RDY5" s="138"/>
      <c r="RDZ5" s="138"/>
      <c r="REA5" s="138"/>
      <c r="REB5" s="138"/>
      <c r="REC5" s="138"/>
      <c r="RED5" s="138"/>
      <c r="REE5" s="138"/>
      <c r="REF5" s="138"/>
      <c r="REG5" s="138"/>
      <c r="REH5" s="138"/>
      <c r="REI5" s="138"/>
      <c r="REJ5" s="138"/>
      <c r="REK5" s="138"/>
      <c r="REL5" s="138"/>
      <c r="REM5" s="138"/>
      <c r="REN5" s="138"/>
      <c r="REO5" s="138"/>
      <c r="REP5" s="138"/>
      <c r="REQ5" s="138"/>
      <c r="RER5" s="138"/>
      <c r="RES5" s="138"/>
      <c r="RET5" s="138"/>
      <c r="REU5" s="138"/>
      <c r="REV5" s="138"/>
      <c r="REW5" s="138"/>
      <c r="REX5" s="138"/>
      <c r="REY5" s="138"/>
      <c r="REZ5" s="138"/>
      <c r="RFA5" s="138"/>
      <c r="RFB5" s="138"/>
      <c r="RFC5" s="138"/>
      <c r="RFD5" s="138"/>
      <c r="RFE5" s="138"/>
      <c r="RFF5" s="138"/>
      <c r="RFG5" s="138"/>
      <c r="RFH5" s="138"/>
      <c r="RFI5" s="138"/>
      <c r="RFJ5" s="138"/>
      <c r="RFK5" s="138"/>
      <c r="RFL5" s="138"/>
      <c r="RFM5" s="138"/>
      <c r="RFN5" s="138"/>
      <c r="RFO5" s="138"/>
      <c r="RFP5" s="138"/>
      <c r="RFQ5" s="138"/>
      <c r="RFR5" s="138"/>
      <c r="RFS5" s="138"/>
      <c r="RFT5" s="138"/>
      <c r="RFU5" s="138"/>
      <c r="RFV5" s="138"/>
      <c r="RFW5" s="138"/>
      <c r="RFX5" s="138"/>
      <c r="RFY5" s="138"/>
      <c r="RFZ5" s="138"/>
      <c r="RGA5" s="138"/>
      <c r="RGB5" s="138"/>
      <c r="RGC5" s="138"/>
      <c r="RGD5" s="138"/>
      <c r="RGE5" s="138"/>
      <c r="RGF5" s="138"/>
      <c r="RGG5" s="138"/>
      <c r="RGH5" s="138"/>
      <c r="RGI5" s="138"/>
      <c r="RGJ5" s="138"/>
      <c r="RGK5" s="138"/>
      <c r="RGL5" s="138"/>
      <c r="RGM5" s="138"/>
      <c r="RGN5" s="138"/>
      <c r="RGO5" s="138"/>
      <c r="RGP5" s="138"/>
      <c r="RGQ5" s="138"/>
      <c r="RGR5" s="138"/>
      <c r="RGS5" s="138"/>
      <c r="RGT5" s="138"/>
      <c r="RGU5" s="138"/>
      <c r="RGV5" s="138"/>
      <c r="RGW5" s="138"/>
      <c r="RGX5" s="138"/>
      <c r="RGY5" s="138"/>
      <c r="RGZ5" s="138"/>
      <c r="RHA5" s="138"/>
      <c r="RHB5" s="138"/>
      <c r="RHC5" s="138"/>
      <c r="RHD5" s="138"/>
      <c r="RHE5" s="138"/>
      <c r="RHF5" s="138"/>
      <c r="RHG5" s="138"/>
      <c r="RHH5" s="138"/>
      <c r="RHI5" s="138"/>
      <c r="RHJ5" s="138"/>
      <c r="RHK5" s="138"/>
      <c r="RHL5" s="138"/>
      <c r="RHM5" s="138"/>
      <c r="RHN5" s="138"/>
      <c r="RHO5" s="138"/>
      <c r="RHP5" s="138"/>
      <c r="RHQ5" s="138"/>
      <c r="RHR5" s="138"/>
      <c r="RHS5" s="138"/>
      <c r="RHT5" s="138"/>
      <c r="RHU5" s="138"/>
      <c r="RHV5" s="138"/>
      <c r="RHW5" s="138"/>
      <c r="RHX5" s="138"/>
      <c r="RHY5" s="138"/>
      <c r="RHZ5" s="138"/>
      <c r="RIA5" s="138"/>
      <c r="RIB5" s="138"/>
      <c r="RIC5" s="138"/>
      <c r="RID5" s="138"/>
      <c r="RIE5" s="138"/>
      <c r="RIF5" s="138"/>
      <c r="RIG5" s="138"/>
      <c r="RIH5" s="138"/>
      <c r="RII5" s="138"/>
      <c r="RIJ5" s="138"/>
      <c r="RIK5" s="138"/>
      <c r="RIL5" s="138"/>
      <c r="RIM5" s="138"/>
      <c r="RIN5" s="138"/>
      <c r="RIO5" s="138"/>
      <c r="RIP5" s="138"/>
      <c r="RIQ5" s="138"/>
      <c r="RIR5" s="138"/>
      <c r="RIS5" s="138"/>
      <c r="RIT5" s="138"/>
      <c r="RIU5" s="138"/>
      <c r="RIV5" s="138"/>
      <c r="RIW5" s="138"/>
      <c r="RIX5" s="138"/>
      <c r="RIY5" s="138"/>
      <c r="RIZ5" s="138"/>
      <c r="RJA5" s="138"/>
      <c r="RJB5" s="138"/>
      <c r="RJC5" s="138"/>
      <c r="RJD5" s="138"/>
      <c r="RJE5" s="138"/>
      <c r="RJF5" s="138"/>
      <c r="RJG5" s="138"/>
      <c r="RJH5" s="138"/>
      <c r="RJI5" s="138"/>
      <c r="RJJ5" s="138"/>
      <c r="RJK5" s="138"/>
      <c r="RJL5" s="138"/>
      <c r="RJM5" s="138"/>
      <c r="RJN5" s="138"/>
      <c r="RJO5" s="138"/>
      <c r="RJP5" s="138"/>
      <c r="RJQ5" s="138"/>
      <c r="RJR5" s="138"/>
      <c r="RJS5" s="138"/>
      <c r="RJT5" s="138"/>
      <c r="RJU5" s="138"/>
      <c r="RJV5" s="138"/>
      <c r="RJW5" s="138"/>
      <c r="RJX5" s="138"/>
      <c r="RJY5" s="138"/>
      <c r="RJZ5" s="138"/>
      <c r="RKA5" s="138"/>
      <c r="RKB5" s="138"/>
      <c r="RKC5" s="138"/>
      <c r="RKD5" s="138"/>
      <c r="RKE5" s="138"/>
      <c r="RKF5" s="138"/>
      <c r="RKG5" s="138"/>
      <c r="RKH5" s="138"/>
      <c r="RKI5" s="138"/>
      <c r="RKJ5" s="138"/>
      <c r="RKK5" s="138"/>
      <c r="RKL5" s="138"/>
      <c r="RKM5" s="138"/>
      <c r="RKN5" s="138"/>
      <c r="RKO5" s="138"/>
      <c r="RKP5" s="138"/>
      <c r="RKQ5" s="138"/>
      <c r="RKR5" s="138"/>
      <c r="RKS5" s="138"/>
      <c r="RKT5" s="138"/>
      <c r="RKU5" s="138"/>
      <c r="RKV5" s="138"/>
      <c r="RKW5" s="138"/>
      <c r="RKX5" s="138"/>
      <c r="RKY5" s="138"/>
      <c r="RKZ5" s="138"/>
      <c r="RLA5" s="138"/>
      <c r="RLB5" s="138"/>
      <c r="RLC5" s="138"/>
      <c r="RLD5" s="138"/>
      <c r="RLE5" s="138"/>
      <c r="RLF5" s="138"/>
      <c r="RLG5" s="138"/>
      <c r="RLH5" s="138"/>
      <c r="RLI5" s="138"/>
      <c r="RLJ5" s="138"/>
      <c r="RLK5" s="138"/>
      <c r="RLL5" s="138"/>
      <c r="RLM5" s="138"/>
      <c r="RLN5" s="138"/>
      <c r="RLO5" s="138"/>
      <c r="RLP5" s="138"/>
      <c r="RLQ5" s="138"/>
      <c r="RLR5" s="138"/>
      <c r="RLS5" s="138"/>
      <c r="RLT5" s="138"/>
      <c r="RLU5" s="138"/>
      <c r="RLV5" s="138"/>
      <c r="RLW5" s="138"/>
      <c r="RLX5" s="138"/>
      <c r="RLY5" s="138"/>
      <c r="RLZ5" s="138"/>
      <c r="RMA5" s="138"/>
      <c r="RMB5" s="138"/>
      <c r="RMC5" s="138"/>
      <c r="RMD5" s="138"/>
      <c r="RME5" s="138"/>
      <c r="RMF5" s="138"/>
      <c r="RMG5" s="138"/>
      <c r="RMH5" s="138"/>
      <c r="RMI5" s="138"/>
      <c r="RMJ5" s="138"/>
      <c r="RMK5" s="138"/>
      <c r="RML5" s="138"/>
      <c r="RMM5" s="138"/>
      <c r="RMN5" s="138"/>
      <c r="RMO5" s="138"/>
      <c r="RMP5" s="138"/>
      <c r="RMQ5" s="138"/>
      <c r="RMR5" s="138"/>
      <c r="RMS5" s="138"/>
      <c r="RMT5" s="138"/>
      <c r="RMU5" s="138"/>
      <c r="RMV5" s="138"/>
      <c r="RMW5" s="138"/>
      <c r="RMX5" s="138"/>
      <c r="RMY5" s="138"/>
      <c r="RMZ5" s="138"/>
      <c r="RNA5" s="138"/>
      <c r="RNB5" s="138"/>
      <c r="RNC5" s="138"/>
      <c r="RND5" s="138"/>
      <c r="RNE5" s="138"/>
      <c r="RNF5" s="138"/>
      <c r="RNG5" s="138"/>
      <c r="RNH5" s="138"/>
      <c r="RNI5" s="138"/>
      <c r="RNJ5" s="138"/>
      <c r="RNK5" s="138"/>
      <c r="RNL5" s="138"/>
      <c r="RNM5" s="138"/>
      <c r="RNN5" s="138"/>
      <c r="RNO5" s="138"/>
      <c r="RNP5" s="138"/>
      <c r="RNQ5" s="138"/>
      <c r="RNR5" s="138"/>
      <c r="RNS5" s="138"/>
      <c r="RNT5" s="138"/>
      <c r="RNU5" s="138"/>
      <c r="RNV5" s="138"/>
      <c r="RNW5" s="138"/>
      <c r="RNX5" s="138"/>
      <c r="RNY5" s="138"/>
      <c r="RNZ5" s="138"/>
      <c r="ROA5" s="138"/>
      <c r="ROB5" s="138"/>
      <c r="ROC5" s="138"/>
      <c r="ROD5" s="138"/>
      <c r="ROE5" s="138"/>
      <c r="ROF5" s="138"/>
      <c r="ROG5" s="138"/>
      <c r="ROH5" s="138"/>
      <c r="ROI5" s="138"/>
      <c r="ROJ5" s="138"/>
      <c r="ROK5" s="138"/>
      <c r="ROL5" s="138"/>
      <c r="ROM5" s="138"/>
      <c r="RON5" s="138"/>
      <c r="ROO5" s="138"/>
      <c r="ROP5" s="138"/>
      <c r="ROQ5" s="138"/>
      <c r="ROR5" s="138"/>
      <c r="ROS5" s="138"/>
      <c r="ROT5" s="138"/>
      <c r="ROU5" s="138"/>
      <c r="ROV5" s="138"/>
      <c r="ROW5" s="138"/>
      <c r="ROX5" s="138"/>
      <c r="ROY5" s="138"/>
      <c r="ROZ5" s="138"/>
      <c r="RPA5" s="138"/>
      <c r="RPB5" s="138"/>
      <c r="RPC5" s="138"/>
      <c r="RPD5" s="138"/>
      <c r="RPE5" s="138"/>
      <c r="RPF5" s="138"/>
      <c r="RPG5" s="138"/>
      <c r="RPH5" s="138"/>
      <c r="RPI5" s="138"/>
      <c r="RPJ5" s="138"/>
      <c r="RPK5" s="138"/>
      <c r="RPL5" s="138"/>
      <c r="RPM5" s="138"/>
      <c r="RPN5" s="138"/>
      <c r="RPO5" s="138"/>
      <c r="RPP5" s="138"/>
      <c r="RPQ5" s="138"/>
      <c r="RPR5" s="138"/>
      <c r="RPS5" s="138"/>
      <c r="RPT5" s="138"/>
      <c r="RPU5" s="138"/>
      <c r="RPV5" s="138"/>
      <c r="RPW5" s="138"/>
      <c r="RPX5" s="138"/>
      <c r="RPY5" s="138"/>
      <c r="RPZ5" s="138"/>
      <c r="RQA5" s="138"/>
      <c r="RQB5" s="138"/>
      <c r="RQC5" s="138"/>
      <c r="RQD5" s="138"/>
      <c r="RQE5" s="138"/>
      <c r="RQF5" s="138"/>
      <c r="RQG5" s="138"/>
      <c r="RQH5" s="138"/>
      <c r="RQI5" s="138"/>
      <c r="RQJ5" s="138"/>
      <c r="RQK5" s="138"/>
      <c r="RQL5" s="138"/>
      <c r="RQM5" s="138"/>
      <c r="RQN5" s="138"/>
      <c r="RQO5" s="138"/>
      <c r="RQP5" s="138"/>
      <c r="RQQ5" s="138"/>
      <c r="RQR5" s="138"/>
      <c r="RQS5" s="138"/>
      <c r="RQT5" s="138"/>
      <c r="RQU5" s="138"/>
      <c r="RQV5" s="138"/>
      <c r="RQW5" s="138"/>
      <c r="RQX5" s="138"/>
      <c r="RQY5" s="138"/>
      <c r="RQZ5" s="138"/>
      <c r="RRA5" s="138"/>
      <c r="RRB5" s="138"/>
      <c r="RRC5" s="138"/>
      <c r="RRD5" s="138"/>
      <c r="RRE5" s="138"/>
      <c r="RRF5" s="138"/>
      <c r="RRG5" s="138"/>
      <c r="RRH5" s="138"/>
      <c r="RRI5" s="138"/>
      <c r="RRJ5" s="138"/>
      <c r="RRK5" s="138"/>
      <c r="RRL5" s="138"/>
      <c r="RRM5" s="138"/>
      <c r="RRN5" s="138"/>
      <c r="RRO5" s="138"/>
      <c r="RRP5" s="138"/>
      <c r="RRQ5" s="138"/>
      <c r="RRR5" s="138"/>
      <c r="RRS5" s="138"/>
      <c r="RRT5" s="138"/>
      <c r="RRU5" s="138"/>
      <c r="RRV5" s="138"/>
      <c r="RRW5" s="138"/>
      <c r="RRX5" s="138"/>
      <c r="RRY5" s="138"/>
      <c r="RRZ5" s="138"/>
      <c r="RSA5" s="138"/>
      <c r="RSB5" s="138"/>
      <c r="RSC5" s="138"/>
      <c r="RSD5" s="138"/>
      <c r="RSE5" s="138"/>
      <c r="RSF5" s="138"/>
      <c r="RSG5" s="138"/>
      <c r="RSH5" s="138"/>
      <c r="RSI5" s="138"/>
      <c r="RSJ5" s="138"/>
      <c r="RSK5" s="138"/>
      <c r="RSL5" s="138"/>
      <c r="RSM5" s="138"/>
      <c r="RSN5" s="138"/>
      <c r="RSO5" s="138"/>
      <c r="RSP5" s="138"/>
      <c r="RSQ5" s="138"/>
      <c r="RSR5" s="138"/>
      <c r="RSS5" s="138"/>
      <c r="RST5" s="138"/>
      <c r="RSU5" s="138"/>
      <c r="RSV5" s="138"/>
      <c r="RSW5" s="138"/>
      <c r="RSX5" s="138"/>
      <c r="RSY5" s="138"/>
      <c r="RSZ5" s="138"/>
      <c r="RTA5" s="138"/>
      <c r="RTB5" s="138"/>
      <c r="RTC5" s="138"/>
      <c r="RTD5" s="138"/>
      <c r="RTE5" s="138"/>
      <c r="RTF5" s="138"/>
      <c r="RTG5" s="138"/>
      <c r="RTH5" s="138"/>
      <c r="RTI5" s="138"/>
      <c r="RTJ5" s="138"/>
      <c r="RTK5" s="138"/>
      <c r="RTL5" s="138"/>
      <c r="RTM5" s="138"/>
      <c r="RTN5" s="138"/>
      <c r="RTO5" s="138"/>
      <c r="RTP5" s="138"/>
      <c r="RTQ5" s="138"/>
      <c r="RTR5" s="138"/>
      <c r="RTS5" s="138"/>
      <c r="RTT5" s="138"/>
      <c r="RTU5" s="138"/>
      <c r="RTV5" s="138"/>
      <c r="RTW5" s="138"/>
      <c r="RTX5" s="138"/>
      <c r="RTY5" s="138"/>
      <c r="RTZ5" s="138"/>
      <c r="RUA5" s="138"/>
      <c r="RUB5" s="138"/>
      <c r="RUC5" s="138"/>
      <c r="RUD5" s="138"/>
      <c r="RUE5" s="138"/>
      <c r="RUF5" s="138"/>
      <c r="RUG5" s="138"/>
      <c r="RUH5" s="138"/>
      <c r="RUI5" s="138"/>
      <c r="RUJ5" s="138"/>
      <c r="RUK5" s="138"/>
      <c r="RUL5" s="138"/>
      <c r="RUM5" s="138"/>
      <c r="RUN5" s="138"/>
      <c r="RUO5" s="138"/>
      <c r="RUP5" s="138"/>
      <c r="RUQ5" s="138"/>
      <c r="RUR5" s="138"/>
      <c r="RUS5" s="138"/>
      <c r="RUT5" s="138"/>
      <c r="RUU5" s="138"/>
      <c r="RUV5" s="138"/>
      <c r="RUW5" s="138"/>
      <c r="RUX5" s="138"/>
      <c r="RUY5" s="138"/>
      <c r="RUZ5" s="138"/>
      <c r="RVA5" s="138"/>
      <c r="RVB5" s="138"/>
      <c r="RVC5" s="138"/>
      <c r="RVD5" s="138"/>
      <c r="RVE5" s="138"/>
      <c r="RVF5" s="138"/>
      <c r="RVG5" s="138"/>
      <c r="RVH5" s="138"/>
      <c r="RVI5" s="138"/>
      <c r="RVJ5" s="138"/>
      <c r="RVK5" s="138"/>
      <c r="RVL5" s="138"/>
      <c r="RVM5" s="138"/>
      <c r="RVN5" s="138"/>
      <c r="RVO5" s="138"/>
      <c r="RVP5" s="138"/>
      <c r="RVQ5" s="138"/>
      <c r="RVR5" s="138"/>
      <c r="RVS5" s="138"/>
      <c r="RVT5" s="138"/>
      <c r="RVU5" s="138"/>
      <c r="RVV5" s="138"/>
      <c r="RVW5" s="138"/>
      <c r="RVX5" s="138"/>
      <c r="RVY5" s="138"/>
      <c r="RVZ5" s="138"/>
      <c r="RWA5" s="138"/>
      <c r="RWB5" s="138"/>
      <c r="RWC5" s="138"/>
      <c r="RWD5" s="138"/>
      <c r="RWE5" s="138"/>
      <c r="RWF5" s="138"/>
      <c r="RWG5" s="138"/>
      <c r="RWH5" s="138"/>
      <c r="RWI5" s="138"/>
      <c r="RWJ5" s="138"/>
      <c r="RWK5" s="138"/>
      <c r="RWL5" s="138"/>
      <c r="RWM5" s="138"/>
      <c r="RWN5" s="138"/>
      <c r="RWO5" s="138"/>
      <c r="RWP5" s="138"/>
      <c r="RWQ5" s="138"/>
      <c r="RWR5" s="138"/>
      <c r="RWS5" s="138"/>
      <c r="RWT5" s="138"/>
      <c r="RWU5" s="138"/>
      <c r="RWV5" s="138"/>
      <c r="RWW5" s="138"/>
      <c r="RWX5" s="138"/>
      <c r="RWY5" s="138"/>
      <c r="RWZ5" s="138"/>
      <c r="RXA5" s="138"/>
      <c r="RXB5" s="138"/>
      <c r="RXC5" s="138"/>
      <c r="RXD5" s="138"/>
      <c r="RXE5" s="138"/>
      <c r="RXF5" s="138"/>
      <c r="RXG5" s="138"/>
      <c r="RXH5" s="138"/>
      <c r="RXI5" s="138"/>
      <c r="RXJ5" s="138"/>
      <c r="RXK5" s="138"/>
      <c r="RXL5" s="138"/>
      <c r="RXM5" s="138"/>
      <c r="RXN5" s="138"/>
      <c r="RXO5" s="138"/>
      <c r="RXP5" s="138"/>
      <c r="RXQ5" s="138"/>
      <c r="RXR5" s="138"/>
      <c r="RXS5" s="138"/>
      <c r="RXT5" s="138"/>
      <c r="RXU5" s="138"/>
      <c r="RXV5" s="138"/>
      <c r="RXW5" s="138"/>
      <c r="RXX5" s="138"/>
      <c r="RXY5" s="138"/>
      <c r="RXZ5" s="138"/>
      <c r="RYA5" s="138"/>
      <c r="RYB5" s="138"/>
      <c r="RYC5" s="138"/>
      <c r="RYD5" s="138"/>
      <c r="RYE5" s="138"/>
      <c r="RYF5" s="138"/>
      <c r="RYG5" s="138"/>
      <c r="RYH5" s="138"/>
      <c r="RYI5" s="138"/>
      <c r="RYJ5" s="138"/>
      <c r="RYK5" s="138"/>
      <c r="RYL5" s="138"/>
      <c r="RYM5" s="138"/>
      <c r="RYN5" s="138"/>
      <c r="RYO5" s="138"/>
      <c r="RYP5" s="138"/>
      <c r="RYQ5" s="138"/>
      <c r="RYR5" s="138"/>
      <c r="RYS5" s="138"/>
      <c r="RYT5" s="138"/>
      <c r="RYU5" s="138"/>
      <c r="RYV5" s="138"/>
      <c r="RYW5" s="138"/>
      <c r="RYX5" s="138"/>
      <c r="RYY5" s="138"/>
      <c r="RYZ5" s="138"/>
      <c r="RZA5" s="138"/>
      <c r="RZB5" s="138"/>
      <c r="RZC5" s="138"/>
      <c r="RZD5" s="138"/>
      <c r="RZE5" s="138"/>
      <c r="RZF5" s="138"/>
      <c r="RZG5" s="138"/>
      <c r="RZH5" s="138"/>
      <c r="RZI5" s="138"/>
      <c r="RZJ5" s="138"/>
      <c r="RZK5" s="138"/>
      <c r="RZL5" s="138"/>
      <c r="RZM5" s="138"/>
      <c r="RZN5" s="138"/>
      <c r="RZO5" s="138"/>
      <c r="RZP5" s="138"/>
      <c r="RZQ5" s="138"/>
      <c r="RZR5" s="138"/>
      <c r="RZS5" s="138"/>
      <c r="RZT5" s="138"/>
      <c r="RZU5" s="138"/>
      <c r="RZV5" s="138"/>
      <c r="RZW5" s="138"/>
      <c r="RZX5" s="138"/>
      <c r="RZY5" s="138"/>
      <c r="RZZ5" s="138"/>
      <c r="SAA5" s="138"/>
      <c r="SAB5" s="138"/>
      <c r="SAC5" s="138"/>
      <c r="SAD5" s="138"/>
      <c r="SAE5" s="138"/>
      <c r="SAF5" s="138"/>
      <c r="SAG5" s="138"/>
      <c r="SAH5" s="138"/>
      <c r="SAI5" s="138"/>
      <c r="SAJ5" s="138"/>
      <c r="SAK5" s="138"/>
      <c r="SAL5" s="138"/>
      <c r="SAM5" s="138"/>
      <c r="SAN5" s="138"/>
      <c r="SAO5" s="138"/>
      <c r="SAP5" s="138"/>
      <c r="SAQ5" s="138"/>
      <c r="SAR5" s="138"/>
      <c r="SAS5" s="138"/>
      <c r="SAT5" s="138"/>
      <c r="SAU5" s="138"/>
      <c r="SAV5" s="138"/>
      <c r="SAW5" s="138"/>
      <c r="SAX5" s="138"/>
      <c r="SAY5" s="138"/>
      <c r="SAZ5" s="138"/>
      <c r="SBA5" s="138"/>
      <c r="SBB5" s="138"/>
      <c r="SBC5" s="138"/>
      <c r="SBD5" s="138"/>
      <c r="SBE5" s="138"/>
      <c r="SBF5" s="138"/>
      <c r="SBG5" s="138"/>
      <c r="SBH5" s="138"/>
      <c r="SBI5" s="138"/>
      <c r="SBJ5" s="138"/>
      <c r="SBK5" s="138"/>
      <c r="SBL5" s="138"/>
      <c r="SBM5" s="138"/>
      <c r="SBN5" s="138"/>
      <c r="SBO5" s="138"/>
      <c r="SBP5" s="138"/>
      <c r="SBQ5" s="138"/>
      <c r="SBR5" s="138"/>
      <c r="SBS5" s="138"/>
      <c r="SBT5" s="138"/>
      <c r="SBU5" s="138"/>
      <c r="SBV5" s="138"/>
      <c r="SBW5" s="138"/>
      <c r="SBX5" s="138"/>
      <c r="SBY5" s="138"/>
      <c r="SBZ5" s="138"/>
      <c r="SCA5" s="138"/>
      <c r="SCB5" s="138"/>
      <c r="SCC5" s="138"/>
      <c r="SCD5" s="138"/>
      <c r="SCE5" s="138"/>
      <c r="SCF5" s="138"/>
      <c r="SCG5" s="138"/>
      <c r="SCH5" s="138"/>
      <c r="SCI5" s="138"/>
      <c r="SCJ5" s="138"/>
      <c r="SCK5" s="138"/>
      <c r="SCL5" s="138"/>
      <c r="SCM5" s="138"/>
      <c r="SCN5" s="138"/>
      <c r="SCO5" s="138"/>
      <c r="SCP5" s="138"/>
      <c r="SCQ5" s="138"/>
      <c r="SCR5" s="138"/>
      <c r="SCS5" s="138"/>
      <c r="SCT5" s="138"/>
      <c r="SCU5" s="138"/>
      <c r="SCV5" s="138"/>
      <c r="SCW5" s="138"/>
      <c r="SCX5" s="138"/>
      <c r="SCY5" s="138"/>
      <c r="SCZ5" s="138"/>
      <c r="SDA5" s="138"/>
      <c r="SDB5" s="138"/>
      <c r="SDC5" s="138"/>
      <c r="SDD5" s="138"/>
      <c r="SDE5" s="138"/>
      <c r="SDF5" s="138"/>
      <c r="SDG5" s="138"/>
      <c r="SDH5" s="138"/>
      <c r="SDI5" s="138"/>
      <c r="SDJ5" s="138"/>
      <c r="SDK5" s="138"/>
      <c r="SDL5" s="138"/>
      <c r="SDM5" s="138"/>
      <c r="SDN5" s="138"/>
      <c r="SDO5" s="138"/>
      <c r="SDP5" s="138"/>
      <c r="SDQ5" s="138"/>
      <c r="SDR5" s="138"/>
      <c r="SDS5" s="138"/>
      <c r="SDT5" s="138"/>
      <c r="SDU5" s="138"/>
      <c r="SDV5" s="138"/>
      <c r="SDW5" s="138"/>
      <c r="SDX5" s="138"/>
      <c r="SDY5" s="138"/>
      <c r="SDZ5" s="138"/>
      <c r="SEA5" s="138"/>
      <c r="SEB5" s="138"/>
      <c r="SEC5" s="138"/>
      <c r="SED5" s="138"/>
      <c r="SEE5" s="138"/>
      <c r="SEF5" s="138"/>
      <c r="SEG5" s="138"/>
      <c r="SEH5" s="138"/>
      <c r="SEI5" s="138"/>
      <c r="SEJ5" s="138"/>
      <c r="SEK5" s="138"/>
      <c r="SEL5" s="138"/>
      <c r="SEM5" s="138"/>
      <c r="SEN5" s="138"/>
      <c r="SEO5" s="138"/>
      <c r="SEP5" s="138"/>
      <c r="SEQ5" s="138"/>
      <c r="SER5" s="138"/>
      <c r="SES5" s="138"/>
      <c r="SET5" s="138"/>
      <c r="SEU5" s="138"/>
      <c r="SEV5" s="138"/>
      <c r="SEW5" s="138"/>
      <c r="SEX5" s="138"/>
      <c r="SEY5" s="138"/>
      <c r="SEZ5" s="138"/>
      <c r="SFA5" s="138"/>
      <c r="SFB5" s="138"/>
      <c r="SFC5" s="138"/>
      <c r="SFD5" s="138"/>
      <c r="SFE5" s="138"/>
      <c r="SFF5" s="138"/>
      <c r="SFG5" s="138"/>
      <c r="SFH5" s="138"/>
      <c r="SFI5" s="138"/>
      <c r="SFJ5" s="138"/>
      <c r="SFK5" s="138"/>
      <c r="SFL5" s="138"/>
      <c r="SFM5" s="138"/>
      <c r="SFN5" s="138"/>
      <c r="SFO5" s="138"/>
      <c r="SFP5" s="138"/>
      <c r="SFQ5" s="138"/>
      <c r="SFR5" s="138"/>
      <c r="SFS5" s="138"/>
      <c r="SFT5" s="138"/>
      <c r="SFU5" s="138"/>
      <c r="SFV5" s="138"/>
      <c r="SFW5" s="138"/>
      <c r="SFX5" s="138"/>
      <c r="SFY5" s="138"/>
      <c r="SFZ5" s="138"/>
      <c r="SGA5" s="138"/>
      <c r="SGB5" s="138"/>
      <c r="SGC5" s="138"/>
      <c r="SGD5" s="138"/>
      <c r="SGE5" s="138"/>
      <c r="SGF5" s="138"/>
      <c r="SGG5" s="138"/>
      <c r="SGH5" s="138"/>
      <c r="SGI5" s="138"/>
      <c r="SGJ5" s="138"/>
      <c r="SGK5" s="138"/>
      <c r="SGL5" s="138"/>
      <c r="SGM5" s="138"/>
      <c r="SGN5" s="138"/>
      <c r="SGO5" s="138"/>
      <c r="SGP5" s="138"/>
      <c r="SGQ5" s="138"/>
      <c r="SGR5" s="138"/>
      <c r="SGS5" s="138"/>
      <c r="SGT5" s="138"/>
      <c r="SGU5" s="138"/>
      <c r="SGV5" s="138"/>
      <c r="SGW5" s="138"/>
      <c r="SGX5" s="138"/>
      <c r="SGY5" s="138"/>
      <c r="SGZ5" s="138"/>
      <c r="SHA5" s="138"/>
      <c r="SHB5" s="138"/>
      <c r="SHC5" s="138"/>
      <c r="SHD5" s="138"/>
      <c r="SHE5" s="138"/>
      <c r="SHF5" s="138"/>
      <c r="SHG5" s="138"/>
      <c r="SHH5" s="138"/>
      <c r="SHI5" s="138"/>
      <c r="SHJ5" s="138"/>
      <c r="SHK5" s="138"/>
      <c r="SHL5" s="138"/>
      <c r="SHM5" s="138"/>
      <c r="SHN5" s="138"/>
      <c r="SHO5" s="138"/>
      <c r="SHP5" s="138"/>
      <c r="SHQ5" s="138"/>
      <c r="SHR5" s="138"/>
      <c r="SHS5" s="138"/>
      <c r="SHT5" s="138"/>
      <c r="SHU5" s="138"/>
      <c r="SHV5" s="138"/>
      <c r="SHW5" s="138"/>
      <c r="SHX5" s="138"/>
      <c r="SHY5" s="138"/>
      <c r="SHZ5" s="138"/>
      <c r="SIA5" s="138"/>
      <c r="SIB5" s="138"/>
      <c r="SIC5" s="138"/>
      <c r="SID5" s="138"/>
      <c r="SIE5" s="138"/>
      <c r="SIF5" s="138"/>
      <c r="SIG5" s="138"/>
      <c r="SIH5" s="138"/>
      <c r="SII5" s="138"/>
      <c r="SIJ5" s="138"/>
      <c r="SIK5" s="138"/>
      <c r="SIL5" s="138"/>
      <c r="SIM5" s="138"/>
      <c r="SIN5" s="138"/>
      <c r="SIO5" s="138"/>
      <c r="SIP5" s="138"/>
      <c r="SIQ5" s="138"/>
      <c r="SIR5" s="138"/>
      <c r="SIS5" s="138"/>
      <c r="SIT5" s="138"/>
      <c r="SIU5" s="138"/>
      <c r="SIV5" s="138"/>
      <c r="SIW5" s="138"/>
      <c r="SIX5" s="138"/>
      <c r="SIY5" s="138"/>
      <c r="SIZ5" s="138"/>
      <c r="SJA5" s="138"/>
      <c r="SJB5" s="138"/>
      <c r="SJC5" s="138"/>
      <c r="SJD5" s="138"/>
      <c r="SJE5" s="138"/>
      <c r="SJF5" s="138"/>
      <c r="SJG5" s="138"/>
      <c r="SJH5" s="138"/>
      <c r="SJI5" s="138"/>
      <c r="SJJ5" s="138"/>
      <c r="SJK5" s="138"/>
      <c r="SJL5" s="138"/>
      <c r="SJM5" s="138"/>
      <c r="SJN5" s="138"/>
      <c r="SJO5" s="138"/>
      <c r="SJP5" s="138"/>
      <c r="SJQ5" s="138"/>
      <c r="SJR5" s="138"/>
      <c r="SJS5" s="138"/>
      <c r="SJT5" s="138"/>
      <c r="SJU5" s="138"/>
      <c r="SJV5" s="138"/>
      <c r="SJW5" s="138"/>
      <c r="SJX5" s="138"/>
      <c r="SJY5" s="138"/>
      <c r="SJZ5" s="138"/>
      <c r="SKA5" s="138"/>
      <c r="SKB5" s="138"/>
      <c r="SKC5" s="138"/>
      <c r="SKD5" s="138"/>
      <c r="SKE5" s="138"/>
      <c r="SKF5" s="138"/>
      <c r="SKG5" s="138"/>
      <c r="SKH5" s="138"/>
      <c r="SKI5" s="138"/>
      <c r="SKJ5" s="138"/>
      <c r="SKK5" s="138"/>
      <c r="SKL5" s="138"/>
      <c r="SKM5" s="138"/>
      <c r="SKN5" s="138"/>
      <c r="SKO5" s="138"/>
      <c r="SKP5" s="138"/>
      <c r="SKQ5" s="138"/>
      <c r="SKR5" s="138"/>
      <c r="SKS5" s="138"/>
      <c r="SKT5" s="138"/>
      <c r="SKU5" s="138"/>
      <c r="SKV5" s="138"/>
      <c r="SKW5" s="138"/>
      <c r="SKX5" s="138"/>
      <c r="SKY5" s="138"/>
      <c r="SKZ5" s="138"/>
      <c r="SLA5" s="138"/>
      <c r="SLB5" s="138"/>
      <c r="SLC5" s="138"/>
      <c r="SLD5" s="138"/>
      <c r="SLE5" s="138"/>
      <c r="SLF5" s="138"/>
      <c r="SLG5" s="138"/>
      <c r="SLH5" s="138"/>
      <c r="SLI5" s="138"/>
      <c r="SLJ5" s="138"/>
      <c r="SLK5" s="138"/>
      <c r="SLL5" s="138"/>
      <c r="SLM5" s="138"/>
      <c r="SLN5" s="138"/>
      <c r="SLO5" s="138"/>
      <c r="SLP5" s="138"/>
      <c r="SLQ5" s="138"/>
      <c r="SLR5" s="138"/>
      <c r="SLS5" s="138"/>
      <c r="SLT5" s="138"/>
      <c r="SLU5" s="138"/>
      <c r="SLV5" s="138"/>
      <c r="SLW5" s="138"/>
      <c r="SLX5" s="138"/>
      <c r="SLY5" s="138"/>
      <c r="SLZ5" s="138"/>
      <c r="SMA5" s="138"/>
      <c r="SMB5" s="138"/>
      <c r="SMC5" s="138"/>
      <c r="SMD5" s="138"/>
      <c r="SME5" s="138"/>
      <c r="SMF5" s="138"/>
      <c r="SMG5" s="138"/>
      <c r="SMH5" s="138"/>
      <c r="SMI5" s="138"/>
      <c r="SMJ5" s="138"/>
      <c r="SMK5" s="138"/>
      <c r="SML5" s="138"/>
      <c r="SMM5" s="138"/>
      <c r="SMN5" s="138"/>
      <c r="SMO5" s="138"/>
      <c r="SMP5" s="138"/>
      <c r="SMQ5" s="138"/>
      <c r="SMR5" s="138"/>
      <c r="SMS5" s="138"/>
      <c r="SMT5" s="138"/>
      <c r="SMU5" s="138"/>
      <c r="SMV5" s="138"/>
      <c r="SMW5" s="138"/>
      <c r="SMX5" s="138"/>
      <c r="SMY5" s="138"/>
      <c r="SMZ5" s="138"/>
      <c r="SNA5" s="138"/>
      <c r="SNB5" s="138"/>
      <c r="SNC5" s="138"/>
      <c r="SND5" s="138"/>
      <c r="SNE5" s="138"/>
      <c r="SNF5" s="138"/>
      <c r="SNG5" s="138"/>
      <c r="SNH5" s="138"/>
      <c r="SNI5" s="138"/>
      <c r="SNJ5" s="138"/>
      <c r="SNK5" s="138"/>
      <c r="SNL5" s="138"/>
      <c r="SNM5" s="138"/>
      <c r="SNN5" s="138"/>
      <c r="SNO5" s="138"/>
      <c r="SNP5" s="138"/>
      <c r="SNQ5" s="138"/>
      <c r="SNR5" s="138"/>
      <c r="SNS5" s="138"/>
      <c r="SNT5" s="138"/>
      <c r="SNU5" s="138"/>
      <c r="SNV5" s="138"/>
      <c r="SNW5" s="138"/>
      <c r="SNX5" s="138"/>
      <c r="SNY5" s="138"/>
      <c r="SNZ5" s="138"/>
      <c r="SOA5" s="138"/>
      <c r="SOB5" s="138"/>
      <c r="SOC5" s="138"/>
      <c r="SOD5" s="138"/>
      <c r="SOE5" s="138"/>
      <c r="SOF5" s="138"/>
      <c r="SOG5" s="138"/>
      <c r="SOH5" s="138"/>
      <c r="SOI5" s="138"/>
      <c r="SOJ5" s="138"/>
      <c r="SOK5" s="138"/>
      <c r="SOL5" s="138"/>
      <c r="SOM5" s="138"/>
      <c r="SON5" s="138"/>
      <c r="SOO5" s="138"/>
      <c r="SOP5" s="138"/>
      <c r="SOQ5" s="138"/>
      <c r="SOR5" s="138"/>
      <c r="SOS5" s="138"/>
      <c r="SOT5" s="138"/>
      <c r="SOU5" s="138"/>
      <c r="SOV5" s="138"/>
      <c r="SOW5" s="138"/>
      <c r="SOX5" s="138"/>
      <c r="SOY5" s="138"/>
      <c r="SOZ5" s="138"/>
      <c r="SPA5" s="138"/>
      <c r="SPB5" s="138"/>
      <c r="SPC5" s="138"/>
      <c r="SPD5" s="138"/>
      <c r="SPE5" s="138"/>
      <c r="SPF5" s="138"/>
      <c r="SPG5" s="138"/>
      <c r="SPH5" s="138"/>
      <c r="SPI5" s="138"/>
      <c r="SPJ5" s="138"/>
      <c r="SPK5" s="138"/>
      <c r="SPL5" s="138"/>
      <c r="SPM5" s="138"/>
      <c r="SPN5" s="138"/>
      <c r="SPO5" s="138"/>
      <c r="SPP5" s="138"/>
      <c r="SPQ5" s="138"/>
      <c r="SPR5" s="138"/>
      <c r="SPS5" s="138"/>
      <c r="SPT5" s="138"/>
      <c r="SPU5" s="138"/>
      <c r="SPV5" s="138"/>
      <c r="SPW5" s="138"/>
      <c r="SPX5" s="138"/>
      <c r="SPY5" s="138"/>
      <c r="SPZ5" s="138"/>
      <c r="SQA5" s="138"/>
      <c r="SQB5" s="138"/>
      <c r="SQC5" s="138"/>
      <c r="SQD5" s="138"/>
      <c r="SQE5" s="138"/>
      <c r="SQF5" s="138"/>
      <c r="SQG5" s="138"/>
      <c r="SQH5" s="138"/>
      <c r="SQI5" s="138"/>
      <c r="SQJ5" s="138"/>
      <c r="SQK5" s="138"/>
      <c r="SQL5" s="138"/>
      <c r="SQM5" s="138"/>
      <c r="SQN5" s="138"/>
      <c r="SQO5" s="138"/>
      <c r="SQP5" s="138"/>
      <c r="SQQ5" s="138"/>
      <c r="SQR5" s="138"/>
      <c r="SQS5" s="138"/>
      <c r="SQT5" s="138"/>
      <c r="SQU5" s="138"/>
      <c r="SQV5" s="138"/>
      <c r="SQW5" s="138"/>
      <c r="SQX5" s="138"/>
      <c r="SQY5" s="138"/>
      <c r="SQZ5" s="138"/>
      <c r="SRA5" s="138"/>
      <c r="SRB5" s="138"/>
      <c r="SRC5" s="138"/>
      <c r="SRD5" s="138"/>
      <c r="SRE5" s="138"/>
      <c r="SRF5" s="138"/>
      <c r="SRG5" s="138"/>
      <c r="SRH5" s="138"/>
      <c r="SRI5" s="138"/>
      <c r="SRJ5" s="138"/>
      <c r="SRK5" s="138"/>
      <c r="SRL5" s="138"/>
      <c r="SRM5" s="138"/>
      <c r="SRN5" s="138"/>
      <c r="SRO5" s="138"/>
      <c r="SRP5" s="138"/>
      <c r="SRQ5" s="138"/>
      <c r="SRR5" s="138"/>
      <c r="SRS5" s="138"/>
      <c r="SRT5" s="138"/>
      <c r="SRU5" s="138"/>
      <c r="SRV5" s="138"/>
      <c r="SRW5" s="138"/>
      <c r="SRX5" s="138"/>
      <c r="SRY5" s="138"/>
      <c r="SRZ5" s="138"/>
      <c r="SSA5" s="138"/>
      <c r="SSB5" s="138"/>
      <c r="SSC5" s="138"/>
      <c r="SSD5" s="138"/>
      <c r="SSE5" s="138"/>
      <c r="SSF5" s="138"/>
      <c r="SSG5" s="138"/>
      <c r="SSH5" s="138"/>
      <c r="SSI5" s="138"/>
      <c r="SSJ5" s="138"/>
      <c r="SSK5" s="138"/>
      <c r="SSL5" s="138"/>
      <c r="SSM5" s="138"/>
      <c r="SSN5" s="138"/>
      <c r="SSO5" s="138"/>
      <c r="SSP5" s="138"/>
      <c r="SSQ5" s="138"/>
      <c r="SSR5" s="138"/>
      <c r="SSS5" s="138"/>
      <c r="SST5" s="138"/>
      <c r="SSU5" s="138"/>
      <c r="SSV5" s="138"/>
      <c r="SSW5" s="138"/>
      <c r="SSX5" s="138"/>
      <c r="SSY5" s="138"/>
      <c r="SSZ5" s="138"/>
      <c r="STA5" s="138"/>
      <c r="STB5" s="138"/>
      <c r="STC5" s="138"/>
      <c r="STD5" s="138"/>
      <c r="STE5" s="138"/>
      <c r="STF5" s="138"/>
      <c r="STG5" s="138"/>
      <c r="STH5" s="138"/>
      <c r="STI5" s="138"/>
      <c r="STJ5" s="138"/>
      <c r="STK5" s="138"/>
      <c r="STL5" s="138"/>
      <c r="STM5" s="138"/>
      <c r="STN5" s="138"/>
      <c r="STO5" s="138"/>
      <c r="STP5" s="138"/>
      <c r="STQ5" s="138"/>
      <c r="STR5" s="138"/>
      <c r="STS5" s="138"/>
      <c r="STT5" s="138"/>
      <c r="STU5" s="138"/>
      <c r="STV5" s="138"/>
      <c r="STW5" s="138"/>
      <c r="STX5" s="138"/>
      <c r="STY5" s="138"/>
      <c r="STZ5" s="138"/>
      <c r="SUA5" s="138"/>
      <c r="SUB5" s="138"/>
      <c r="SUC5" s="138"/>
      <c r="SUD5" s="138"/>
      <c r="SUE5" s="138"/>
      <c r="SUF5" s="138"/>
      <c r="SUG5" s="138"/>
      <c r="SUH5" s="138"/>
      <c r="SUI5" s="138"/>
      <c r="SUJ5" s="138"/>
      <c r="SUK5" s="138"/>
      <c r="SUL5" s="138"/>
      <c r="SUM5" s="138"/>
      <c r="SUN5" s="138"/>
      <c r="SUO5" s="138"/>
      <c r="SUP5" s="138"/>
      <c r="SUQ5" s="138"/>
      <c r="SUR5" s="138"/>
      <c r="SUS5" s="138"/>
      <c r="SUT5" s="138"/>
      <c r="SUU5" s="138"/>
      <c r="SUV5" s="138"/>
      <c r="SUW5" s="138"/>
      <c r="SUX5" s="138"/>
      <c r="SUY5" s="138"/>
      <c r="SUZ5" s="138"/>
      <c r="SVA5" s="138"/>
      <c r="SVB5" s="138"/>
      <c r="SVC5" s="138"/>
      <c r="SVD5" s="138"/>
      <c r="SVE5" s="138"/>
      <c r="SVF5" s="138"/>
      <c r="SVG5" s="138"/>
      <c r="SVH5" s="138"/>
      <c r="SVI5" s="138"/>
      <c r="SVJ5" s="138"/>
      <c r="SVK5" s="138"/>
      <c r="SVL5" s="138"/>
      <c r="SVM5" s="138"/>
      <c r="SVN5" s="138"/>
      <c r="SVO5" s="138"/>
      <c r="SVP5" s="138"/>
      <c r="SVQ5" s="138"/>
      <c r="SVR5" s="138"/>
      <c r="SVS5" s="138"/>
      <c r="SVT5" s="138"/>
      <c r="SVU5" s="138"/>
      <c r="SVV5" s="138"/>
      <c r="SVW5" s="138"/>
      <c r="SVX5" s="138"/>
      <c r="SVY5" s="138"/>
      <c r="SVZ5" s="138"/>
      <c r="SWA5" s="138"/>
      <c r="SWB5" s="138"/>
      <c r="SWC5" s="138"/>
      <c r="SWD5" s="138"/>
      <c r="SWE5" s="138"/>
      <c r="SWF5" s="138"/>
      <c r="SWG5" s="138"/>
      <c r="SWH5" s="138"/>
      <c r="SWI5" s="138"/>
      <c r="SWJ5" s="138"/>
      <c r="SWK5" s="138"/>
      <c r="SWL5" s="138"/>
      <c r="SWM5" s="138"/>
      <c r="SWN5" s="138"/>
      <c r="SWO5" s="138"/>
      <c r="SWP5" s="138"/>
      <c r="SWQ5" s="138"/>
      <c r="SWR5" s="138"/>
      <c r="SWS5" s="138"/>
      <c r="SWT5" s="138"/>
      <c r="SWU5" s="138"/>
      <c r="SWV5" s="138"/>
      <c r="SWW5" s="138"/>
      <c r="SWX5" s="138"/>
      <c r="SWY5" s="138"/>
      <c r="SWZ5" s="138"/>
      <c r="SXA5" s="138"/>
      <c r="SXB5" s="138"/>
      <c r="SXC5" s="138"/>
      <c r="SXD5" s="138"/>
      <c r="SXE5" s="138"/>
      <c r="SXF5" s="138"/>
      <c r="SXG5" s="138"/>
      <c r="SXH5" s="138"/>
      <c r="SXI5" s="138"/>
      <c r="SXJ5" s="138"/>
      <c r="SXK5" s="138"/>
      <c r="SXL5" s="138"/>
      <c r="SXM5" s="138"/>
      <c r="SXN5" s="138"/>
      <c r="SXO5" s="138"/>
      <c r="SXP5" s="138"/>
      <c r="SXQ5" s="138"/>
      <c r="SXR5" s="138"/>
      <c r="SXS5" s="138"/>
      <c r="SXT5" s="138"/>
      <c r="SXU5" s="138"/>
      <c r="SXV5" s="138"/>
      <c r="SXW5" s="138"/>
      <c r="SXX5" s="138"/>
      <c r="SXY5" s="138"/>
      <c r="SXZ5" s="138"/>
      <c r="SYA5" s="138"/>
      <c r="SYB5" s="138"/>
      <c r="SYC5" s="138"/>
      <c r="SYD5" s="138"/>
      <c r="SYE5" s="138"/>
      <c r="SYF5" s="138"/>
      <c r="SYG5" s="138"/>
      <c r="SYH5" s="138"/>
      <c r="SYI5" s="138"/>
      <c r="SYJ5" s="138"/>
      <c r="SYK5" s="138"/>
      <c r="SYL5" s="138"/>
      <c r="SYM5" s="138"/>
      <c r="SYN5" s="138"/>
      <c r="SYO5" s="138"/>
      <c r="SYP5" s="138"/>
      <c r="SYQ5" s="138"/>
      <c r="SYR5" s="138"/>
      <c r="SYS5" s="138"/>
      <c r="SYT5" s="138"/>
      <c r="SYU5" s="138"/>
      <c r="SYV5" s="138"/>
      <c r="SYW5" s="138"/>
      <c r="SYX5" s="138"/>
      <c r="SYY5" s="138"/>
      <c r="SYZ5" s="138"/>
      <c r="SZA5" s="138"/>
      <c r="SZB5" s="138"/>
      <c r="SZC5" s="138"/>
      <c r="SZD5" s="138"/>
      <c r="SZE5" s="138"/>
      <c r="SZF5" s="138"/>
      <c r="SZG5" s="138"/>
      <c r="SZH5" s="138"/>
      <c r="SZI5" s="138"/>
      <c r="SZJ5" s="138"/>
      <c r="SZK5" s="138"/>
      <c r="SZL5" s="138"/>
      <c r="SZM5" s="138"/>
      <c r="SZN5" s="138"/>
      <c r="SZO5" s="138"/>
      <c r="SZP5" s="138"/>
      <c r="SZQ5" s="138"/>
      <c r="SZR5" s="138"/>
      <c r="SZS5" s="138"/>
      <c r="SZT5" s="138"/>
      <c r="SZU5" s="138"/>
      <c r="SZV5" s="138"/>
      <c r="SZW5" s="138"/>
      <c r="SZX5" s="138"/>
      <c r="SZY5" s="138"/>
      <c r="SZZ5" s="138"/>
      <c r="TAA5" s="138"/>
      <c r="TAB5" s="138"/>
      <c r="TAC5" s="138"/>
      <c r="TAD5" s="138"/>
      <c r="TAE5" s="138"/>
      <c r="TAF5" s="138"/>
      <c r="TAG5" s="138"/>
      <c r="TAH5" s="138"/>
      <c r="TAI5" s="138"/>
      <c r="TAJ5" s="138"/>
      <c r="TAK5" s="138"/>
      <c r="TAL5" s="138"/>
      <c r="TAM5" s="138"/>
      <c r="TAN5" s="138"/>
      <c r="TAO5" s="138"/>
      <c r="TAP5" s="138"/>
      <c r="TAQ5" s="138"/>
      <c r="TAR5" s="138"/>
      <c r="TAS5" s="138"/>
      <c r="TAT5" s="138"/>
      <c r="TAU5" s="138"/>
      <c r="TAV5" s="138"/>
      <c r="TAW5" s="138"/>
      <c r="TAX5" s="138"/>
      <c r="TAY5" s="138"/>
      <c r="TAZ5" s="138"/>
      <c r="TBA5" s="138"/>
      <c r="TBB5" s="138"/>
      <c r="TBC5" s="138"/>
      <c r="TBD5" s="138"/>
      <c r="TBE5" s="138"/>
      <c r="TBF5" s="138"/>
      <c r="TBG5" s="138"/>
      <c r="TBH5" s="138"/>
      <c r="TBI5" s="138"/>
      <c r="TBJ5" s="138"/>
      <c r="TBK5" s="138"/>
      <c r="TBL5" s="138"/>
      <c r="TBM5" s="138"/>
      <c r="TBN5" s="138"/>
      <c r="TBO5" s="138"/>
      <c r="TBP5" s="138"/>
      <c r="TBQ5" s="138"/>
      <c r="TBR5" s="138"/>
      <c r="TBS5" s="138"/>
      <c r="TBT5" s="138"/>
      <c r="TBU5" s="138"/>
      <c r="TBV5" s="138"/>
      <c r="TBW5" s="138"/>
      <c r="TBX5" s="138"/>
      <c r="TBY5" s="138"/>
      <c r="TBZ5" s="138"/>
      <c r="TCA5" s="138"/>
      <c r="TCB5" s="138"/>
      <c r="TCC5" s="138"/>
      <c r="TCD5" s="138"/>
      <c r="TCE5" s="138"/>
      <c r="TCF5" s="138"/>
      <c r="TCG5" s="138"/>
      <c r="TCH5" s="138"/>
      <c r="TCI5" s="138"/>
      <c r="TCJ5" s="138"/>
      <c r="TCK5" s="138"/>
      <c r="TCL5" s="138"/>
      <c r="TCM5" s="138"/>
      <c r="TCN5" s="138"/>
      <c r="TCO5" s="138"/>
      <c r="TCP5" s="138"/>
      <c r="TCQ5" s="138"/>
      <c r="TCR5" s="138"/>
      <c r="TCS5" s="138"/>
      <c r="TCT5" s="138"/>
      <c r="TCU5" s="138"/>
      <c r="TCV5" s="138"/>
      <c r="TCW5" s="138"/>
      <c r="TCX5" s="138"/>
      <c r="TCY5" s="138"/>
      <c r="TCZ5" s="138"/>
      <c r="TDA5" s="138"/>
      <c r="TDB5" s="138"/>
      <c r="TDC5" s="138"/>
      <c r="TDD5" s="138"/>
      <c r="TDE5" s="138"/>
      <c r="TDF5" s="138"/>
      <c r="TDG5" s="138"/>
      <c r="TDH5" s="138"/>
      <c r="TDI5" s="138"/>
      <c r="TDJ5" s="138"/>
      <c r="TDK5" s="138"/>
      <c r="TDL5" s="138"/>
      <c r="TDM5" s="138"/>
      <c r="TDN5" s="138"/>
      <c r="TDO5" s="138"/>
      <c r="TDP5" s="138"/>
      <c r="TDQ5" s="138"/>
      <c r="TDR5" s="138"/>
      <c r="TDS5" s="138"/>
      <c r="TDT5" s="138"/>
      <c r="TDU5" s="138"/>
      <c r="TDV5" s="138"/>
      <c r="TDW5" s="138"/>
      <c r="TDX5" s="138"/>
      <c r="TDY5" s="138"/>
      <c r="TDZ5" s="138"/>
      <c r="TEA5" s="138"/>
      <c r="TEB5" s="138"/>
      <c r="TEC5" s="138"/>
      <c r="TED5" s="138"/>
      <c r="TEE5" s="138"/>
      <c r="TEF5" s="138"/>
      <c r="TEG5" s="138"/>
      <c r="TEH5" s="138"/>
      <c r="TEI5" s="138"/>
      <c r="TEJ5" s="138"/>
      <c r="TEK5" s="138"/>
      <c r="TEL5" s="138"/>
      <c r="TEM5" s="138"/>
      <c r="TEN5" s="138"/>
      <c r="TEO5" s="138"/>
      <c r="TEP5" s="138"/>
      <c r="TEQ5" s="138"/>
      <c r="TER5" s="138"/>
      <c r="TES5" s="138"/>
      <c r="TET5" s="138"/>
      <c r="TEU5" s="138"/>
      <c r="TEV5" s="138"/>
      <c r="TEW5" s="138"/>
      <c r="TEX5" s="138"/>
      <c r="TEY5" s="138"/>
      <c r="TEZ5" s="138"/>
      <c r="TFA5" s="138"/>
      <c r="TFB5" s="138"/>
      <c r="TFC5" s="138"/>
      <c r="TFD5" s="138"/>
      <c r="TFE5" s="138"/>
      <c r="TFF5" s="138"/>
      <c r="TFG5" s="138"/>
      <c r="TFH5" s="138"/>
      <c r="TFI5" s="138"/>
      <c r="TFJ5" s="138"/>
      <c r="TFK5" s="138"/>
      <c r="TFL5" s="138"/>
      <c r="TFM5" s="138"/>
      <c r="TFN5" s="138"/>
      <c r="TFO5" s="138"/>
      <c r="TFP5" s="138"/>
      <c r="TFQ5" s="138"/>
      <c r="TFR5" s="138"/>
      <c r="TFS5" s="138"/>
      <c r="TFT5" s="138"/>
      <c r="TFU5" s="138"/>
      <c r="TFV5" s="138"/>
      <c r="TFW5" s="138"/>
      <c r="TFX5" s="138"/>
      <c r="TFY5" s="138"/>
      <c r="TFZ5" s="138"/>
      <c r="TGA5" s="138"/>
      <c r="TGB5" s="138"/>
      <c r="TGC5" s="138"/>
      <c r="TGD5" s="138"/>
      <c r="TGE5" s="138"/>
      <c r="TGF5" s="138"/>
      <c r="TGG5" s="138"/>
      <c r="TGH5" s="138"/>
      <c r="TGI5" s="138"/>
      <c r="TGJ5" s="138"/>
      <c r="TGK5" s="138"/>
      <c r="TGL5" s="138"/>
      <c r="TGM5" s="138"/>
      <c r="TGN5" s="138"/>
      <c r="TGO5" s="138"/>
      <c r="TGP5" s="138"/>
      <c r="TGQ5" s="138"/>
      <c r="TGR5" s="138"/>
      <c r="TGS5" s="138"/>
      <c r="TGT5" s="138"/>
      <c r="TGU5" s="138"/>
      <c r="TGV5" s="138"/>
      <c r="TGW5" s="138"/>
      <c r="TGX5" s="138"/>
      <c r="TGY5" s="138"/>
      <c r="TGZ5" s="138"/>
      <c r="THA5" s="138"/>
      <c r="THB5" s="138"/>
      <c r="THC5" s="138"/>
      <c r="THD5" s="138"/>
      <c r="THE5" s="138"/>
      <c r="THF5" s="138"/>
      <c r="THG5" s="138"/>
      <c r="THH5" s="138"/>
      <c r="THI5" s="138"/>
      <c r="THJ5" s="138"/>
      <c r="THK5" s="138"/>
      <c r="THL5" s="138"/>
      <c r="THM5" s="138"/>
      <c r="THN5" s="138"/>
      <c r="THO5" s="138"/>
      <c r="THP5" s="138"/>
      <c r="THQ5" s="138"/>
      <c r="THR5" s="138"/>
      <c r="THS5" s="138"/>
      <c r="THT5" s="138"/>
      <c r="THU5" s="138"/>
      <c r="THV5" s="138"/>
      <c r="THW5" s="138"/>
      <c r="THX5" s="138"/>
      <c r="THY5" s="138"/>
      <c r="THZ5" s="138"/>
      <c r="TIA5" s="138"/>
      <c r="TIB5" s="138"/>
      <c r="TIC5" s="138"/>
      <c r="TID5" s="138"/>
      <c r="TIE5" s="138"/>
      <c r="TIF5" s="138"/>
      <c r="TIG5" s="138"/>
      <c r="TIH5" s="138"/>
      <c r="TII5" s="138"/>
      <c r="TIJ5" s="138"/>
      <c r="TIK5" s="138"/>
      <c r="TIL5" s="138"/>
      <c r="TIM5" s="138"/>
      <c r="TIN5" s="138"/>
      <c r="TIO5" s="138"/>
      <c r="TIP5" s="138"/>
      <c r="TIQ5" s="138"/>
      <c r="TIR5" s="138"/>
      <c r="TIS5" s="138"/>
      <c r="TIT5" s="138"/>
      <c r="TIU5" s="138"/>
      <c r="TIV5" s="138"/>
      <c r="TIW5" s="138"/>
      <c r="TIX5" s="138"/>
      <c r="TIY5" s="138"/>
      <c r="TIZ5" s="138"/>
      <c r="TJA5" s="138"/>
      <c r="TJB5" s="138"/>
      <c r="TJC5" s="138"/>
      <c r="TJD5" s="138"/>
      <c r="TJE5" s="138"/>
      <c r="TJF5" s="138"/>
      <c r="TJG5" s="138"/>
      <c r="TJH5" s="138"/>
      <c r="TJI5" s="138"/>
      <c r="TJJ5" s="138"/>
      <c r="TJK5" s="138"/>
      <c r="TJL5" s="138"/>
      <c r="TJM5" s="138"/>
      <c r="TJN5" s="138"/>
      <c r="TJO5" s="138"/>
      <c r="TJP5" s="138"/>
      <c r="TJQ5" s="138"/>
      <c r="TJR5" s="138"/>
      <c r="TJS5" s="138"/>
      <c r="TJT5" s="138"/>
      <c r="TJU5" s="138"/>
      <c r="TJV5" s="138"/>
      <c r="TJW5" s="138"/>
      <c r="TJX5" s="138"/>
      <c r="TJY5" s="138"/>
      <c r="TJZ5" s="138"/>
      <c r="TKA5" s="138"/>
      <c r="TKB5" s="138"/>
      <c r="TKC5" s="138"/>
      <c r="TKD5" s="138"/>
      <c r="TKE5" s="138"/>
      <c r="TKF5" s="138"/>
      <c r="TKG5" s="138"/>
      <c r="TKH5" s="138"/>
      <c r="TKI5" s="138"/>
      <c r="TKJ5" s="138"/>
      <c r="TKK5" s="138"/>
      <c r="TKL5" s="138"/>
      <c r="TKM5" s="138"/>
      <c r="TKN5" s="138"/>
      <c r="TKO5" s="138"/>
      <c r="TKP5" s="138"/>
      <c r="TKQ5" s="138"/>
      <c r="TKR5" s="138"/>
      <c r="TKS5" s="138"/>
      <c r="TKT5" s="138"/>
      <c r="TKU5" s="138"/>
      <c r="TKV5" s="138"/>
      <c r="TKW5" s="138"/>
      <c r="TKX5" s="138"/>
      <c r="TKY5" s="138"/>
      <c r="TKZ5" s="138"/>
      <c r="TLA5" s="138"/>
      <c r="TLB5" s="138"/>
      <c r="TLC5" s="138"/>
      <c r="TLD5" s="138"/>
      <c r="TLE5" s="138"/>
      <c r="TLF5" s="138"/>
      <c r="TLG5" s="138"/>
      <c r="TLH5" s="138"/>
      <c r="TLI5" s="138"/>
      <c r="TLJ5" s="138"/>
      <c r="TLK5" s="138"/>
      <c r="TLL5" s="138"/>
      <c r="TLM5" s="138"/>
      <c r="TLN5" s="138"/>
      <c r="TLO5" s="138"/>
      <c r="TLP5" s="138"/>
      <c r="TLQ5" s="138"/>
      <c r="TLR5" s="138"/>
      <c r="TLS5" s="138"/>
      <c r="TLT5" s="138"/>
      <c r="TLU5" s="138"/>
      <c r="TLV5" s="138"/>
      <c r="TLW5" s="138"/>
      <c r="TLX5" s="138"/>
      <c r="TLY5" s="138"/>
      <c r="TLZ5" s="138"/>
      <c r="TMA5" s="138"/>
      <c r="TMB5" s="138"/>
      <c r="TMC5" s="138"/>
      <c r="TMD5" s="138"/>
      <c r="TME5" s="138"/>
      <c r="TMF5" s="138"/>
      <c r="TMG5" s="138"/>
      <c r="TMH5" s="138"/>
      <c r="TMI5" s="138"/>
      <c r="TMJ5" s="138"/>
      <c r="TMK5" s="138"/>
      <c r="TML5" s="138"/>
      <c r="TMM5" s="138"/>
      <c r="TMN5" s="138"/>
      <c r="TMO5" s="138"/>
      <c r="TMP5" s="138"/>
      <c r="TMQ5" s="138"/>
      <c r="TMR5" s="138"/>
      <c r="TMS5" s="138"/>
      <c r="TMT5" s="138"/>
      <c r="TMU5" s="138"/>
      <c r="TMV5" s="138"/>
      <c r="TMW5" s="138"/>
      <c r="TMX5" s="138"/>
      <c r="TMY5" s="138"/>
      <c r="TMZ5" s="138"/>
      <c r="TNA5" s="138"/>
      <c r="TNB5" s="138"/>
      <c r="TNC5" s="138"/>
      <c r="TND5" s="138"/>
      <c r="TNE5" s="138"/>
      <c r="TNF5" s="138"/>
      <c r="TNG5" s="138"/>
      <c r="TNH5" s="138"/>
      <c r="TNI5" s="138"/>
      <c r="TNJ5" s="138"/>
      <c r="TNK5" s="138"/>
      <c r="TNL5" s="138"/>
      <c r="TNM5" s="138"/>
      <c r="TNN5" s="138"/>
      <c r="TNO5" s="138"/>
      <c r="TNP5" s="138"/>
      <c r="TNQ5" s="138"/>
      <c r="TNR5" s="138"/>
      <c r="TNS5" s="138"/>
      <c r="TNT5" s="138"/>
      <c r="TNU5" s="138"/>
      <c r="TNV5" s="138"/>
      <c r="TNW5" s="138"/>
      <c r="TNX5" s="138"/>
      <c r="TNY5" s="138"/>
      <c r="TNZ5" s="138"/>
      <c r="TOA5" s="138"/>
      <c r="TOB5" s="138"/>
      <c r="TOC5" s="138"/>
      <c r="TOD5" s="138"/>
      <c r="TOE5" s="138"/>
      <c r="TOF5" s="138"/>
      <c r="TOG5" s="138"/>
      <c r="TOH5" s="138"/>
      <c r="TOI5" s="138"/>
      <c r="TOJ5" s="138"/>
      <c r="TOK5" s="138"/>
      <c r="TOL5" s="138"/>
      <c r="TOM5" s="138"/>
      <c r="TON5" s="138"/>
      <c r="TOO5" s="138"/>
      <c r="TOP5" s="138"/>
      <c r="TOQ5" s="138"/>
      <c r="TOR5" s="138"/>
      <c r="TOS5" s="138"/>
      <c r="TOT5" s="138"/>
      <c r="TOU5" s="138"/>
      <c r="TOV5" s="138"/>
      <c r="TOW5" s="138"/>
      <c r="TOX5" s="138"/>
      <c r="TOY5" s="138"/>
      <c r="TOZ5" s="138"/>
      <c r="TPA5" s="138"/>
      <c r="TPB5" s="138"/>
      <c r="TPC5" s="138"/>
      <c r="TPD5" s="138"/>
      <c r="TPE5" s="138"/>
      <c r="TPF5" s="138"/>
      <c r="TPG5" s="138"/>
      <c r="TPH5" s="138"/>
      <c r="TPI5" s="138"/>
      <c r="TPJ5" s="138"/>
      <c r="TPK5" s="138"/>
      <c r="TPL5" s="138"/>
      <c r="TPM5" s="138"/>
      <c r="TPN5" s="138"/>
      <c r="TPO5" s="138"/>
      <c r="TPP5" s="138"/>
      <c r="TPQ5" s="138"/>
      <c r="TPR5" s="138"/>
      <c r="TPS5" s="138"/>
      <c r="TPT5" s="138"/>
      <c r="TPU5" s="138"/>
      <c r="TPV5" s="138"/>
      <c r="TPW5" s="138"/>
      <c r="TPX5" s="138"/>
      <c r="TPY5" s="138"/>
      <c r="TPZ5" s="138"/>
      <c r="TQA5" s="138"/>
      <c r="TQB5" s="138"/>
      <c r="TQC5" s="138"/>
      <c r="TQD5" s="138"/>
      <c r="TQE5" s="138"/>
      <c r="TQF5" s="138"/>
      <c r="TQG5" s="138"/>
      <c r="TQH5" s="138"/>
      <c r="TQI5" s="138"/>
      <c r="TQJ5" s="138"/>
      <c r="TQK5" s="138"/>
      <c r="TQL5" s="138"/>
      <c r="TQM5" s="138"/>
      <c r="TQN5" s="138"/>
      <c r="TQO5" s="138"/>
      <c r="TQP5" s="138"/>
      <c r="TQQ5" s="138"/>
      <c r="TQR5" s="138"/>
      <c r="TQS5" s="138"/>
      <c r="TQT5" s="138"/>
      <c r="TQU5" s="138"/>
      <c r="TQV5" s="138"/>
      <c r="TQW5" s="138"/>
      <c r="TQX5" s="138"/>
      <c r="TQY5" s="138"/>
      <c r="TQZ5" s="138"/>
      <c r="TRA5" s="138"/>
      <c r="TRB5" s="138"/>
      <c r="TRC5" s="138"/>
      <c r="TRD5" s="138"/>
      <c r="TRE5" s="138"/>
      <c r="TRF5" s="138"/>
      <c r="TRG5" s="138"/>
      <c r="TRH5" s="138"/>
      <c r="TRI5" s="138"/>
      <c r="TRJ5" s="138"/>
      <c r="TRK5" s="138"/>
      <c r="TRL5" s="138"/>
      <c r="TRM5" s="138"/>
      <c r="TRN5" s="138"/>
      <c r="TRO5" s="138"/>
      <c r="TRP5" s="138"/>
      <c r="TRQ5" s="138"/>
      <c r="TRR5" s="138"/>
      <c r="TRS5" s="138"/>
      <c r="TRT5" s="138"/>
      <c r="TRU5" s="138"/>
      <c r="TRV5" s="138"/>
      <c r="TRW5" s="138"/>
      <c r="TRX5" s="138"/>
      <c r="TRY5" s="138"/>
      <c r="TRZ5" s="138"/>
      <c r="TSA5" s="138"/>
      <c r="TSB5" s="138"/>
      <c r="TSC5" s="138"/>
      <c r="TSD5" s="138"/>
      <c r="TSE5" s="138"/>
      <c r="TSF5" s="138"/>
      <c r="TSG5" s="138"/>
      <c r="TSH5" s="138"/>
      <c r="TSI5" s="138"/>
      <c r="TSJ5" s="138"/>
      <c r="TSK5" s="138"/>
      <c r="TSL5" s="138"/>
      <c r="TSM5" s="138"/>
      <c r="TSN5" s="138"/>
      <c r="TSO5" s="138"/>
      <c r="TSP5" s="138"/>
      <c r="TSQ5" s="138"/>
      <c r="TSR5" s="138"/>
      <c r="TSS5" s="138"/>
      <c r="TST5" s="138"/>
      <c r="TSU5" s="138"/>
      <c r="TSV5" s="138"/>
      <c r="TSW5" s="138"/>
      <c r="TSX5" s="138"/>
      <c r="TSY5" s="138"/>
      <c r="TSZ5" s="138"/>
      <c r="TTA5" s="138"/>
      <c r="TTB5" s="138"/>
      <c r="TTC5" s="138"/>
      <c r="TTD5" s="138"/>
      <c r="TTE5" s="138"/>
      <c r="TTF5" s="138"/>
      <c r="TTG5" s="138"/>
      <c r="TTH5" s="138"/>
      <c r="TTI5" s="138"/>
      <c r="TTJ5" s="138"/>
      <c r="TTK5" s="138"/>
      <c r="TTL5" s="138"/>
      <c r="TTM5" s="138"/>
      <c r="TTN5" s="138"/>
      <c r="TTO5" s="138"/>
      <c r="TTP5" s="138"/>
      <c r="TTQ5" s="138"/>
      <c r="TTR5" s="138"/>
      <c r="TTS5" s="138"/>
      <c r="TTT5" s="138"/>
      <c r="TTU5" s="138"/>
      <c r="TTV5" s="138"/>
      <c r="TTW5" s="138"/>
      <c r="TTX5" s="138"/>
      <c r="TTY5" s="138"/>
      <c r="TTZ5" s="138"/>
      <c r="TUA5" s="138"/>
      <c r="TUB5" s="138"/>
      <c r="TUC5" s="138"/>
      <c r="TUD5" s="138"/>
      <c r="TUE5" s="138"/>
      <c r="TUF5" s="138"/>
      <c r="TUG5" s="138"/>
      <c r="TUH5" s="138"/>
      <c r="TUI5" s="138"/>
      <c r="TUJ5" s="138"/>
      <c r="TUK5" s="138"/>
      <c r="TUL5" s="138"/>
      <c r="TUM5" s="138"/>
      <c r="TUN5" s="138"/>
      <c r="TUO5" s="138"/>
      <c r="TUP5" s="138"/>
      <c r="TUQ5" s="138"/>
      <c r="TUR5" s="138"/>
      <c r="TUS5" s="138"/>
      <c r="TUT5" s="138"/>
      <c r="TUU5" s="138"/>
      <c r="TUV5" s="138"/>
      <c r="TUW5" s="138"/>
      <c r="TUX5" s="138"/>
      <c r="TUY5" s="138"/>
      <c r="TUZ5" s="138"/>
      <c r="TVA5" s="138"/>
      <c r="TVB5" s="138"/>
      <c r="TVC5" s="138"/>
      <c r="TVD5" s="138"/>
      <c r="TVE5" s="138"/>
      <c r="TVF5" s="138"/>
      <c r="TVG5" s="138"/>
      <c r="TVH5" s="138"/>
      <c r="TVI5" s="138"/>
      <c r="TVJ5" s="138"/>
      <c r="TVK5" s="138"/>
      <c r="TVL5" s="138"/>
      <c r="TVM5" s="138"/>
      <c r="TVN5" s="138"/>
      <c r="TVO5" s="138"/>
      <c r="TVP5" s="138"/>
      <c r="TVQ5" s="138"/>
      <c r="TVR5" s="138"/>
      <c r="TVS5" s="138"/>
      <c r="TVT5" s="138"/>
      <c r="TVU5" s="138"/>
      <c r="TVV5" s="138"/>
      <c r="TVW5" s="138"/>
      <c r="TVX5" s="138"/>
      <c r="TVY5" s="138"/>
      <c r="TVZ5" s="138"/>
      <c r="TWA5" s="138"/>
      <c r="TWB5" s="138"/>
      <c r="TWC5" s="138"/>
      <c r="TWD5" s="138"/>
      <c r="TWE5" s="138"/>
      <c r="TWF5" s="138"/>
      <c r="TWG5" s="138"/>
      <c r="TWH5" s="138"/>
      <c r="TWI5" s="138"/>
      <c r="TWJ5" s="138"/>
      <c r="TWK5" s="138"/>
      <c r="TWL5" s="138"/>
      <c r="TWM5" s="138"/>
      <c r="TWN5" s="138"/>
      <c r="TWO5" s="138"/>
      <c r="TWP5" s="138"/>
      <c r="TWQ5" s="138"/>
      <c r="TWR5" s="138"/>
      <c r="TWS5" s="138"/>
      <c r="TWT5" s="138"/>
      <c r="TWU5" s="138"/>
      <c r="TWV5" s="138"/>
      <c r="TWW5" s="138"/>
      <c r="TWX5" s="138"/>
      <c r="TWY5" s="138"/>
      <c r="TWZ5" s="138"/>
      <c r="TXA5" s="138"/>
      <c r="TXB5" s="138"/>
      <c r="TXC5" s="138"/>
      <c r="TXD5" s="138"/>
      <c r="TXE5" s="138"/>
      <c r="TXF5" s="138"/>
      <c r="TXG5" s="138"/>
      <c r="TXH5" s="138"/>
      <c r="TXI5" s="138"/>
      <c r="TXJ5" s="138"/>
      <c r="TXK5" s="138"/>
      <c r="TXL5" s="138"/>
      <c r="TXM5" s="138"/>
      <c r="TXN5" s="138"/>
      <c r="TXO5" s="138"/>
      <c r="TXP5" s="138"/>
      <c r="TXQ5" s="138"/>
      <c r="TXR5" s="138"/>
      <c r="TXS5" s="138"/>
      <c r="TXT5" s="138"/>
      <c r="TXU5" s="138"/>
      <c r="TXV5" s="138"/>
      <c r="TXW5" s="138"/>
      <c r="TXX5" s="138"/>
      <c r="TXY5" s="138"/>
      <c r="TXZ5" s="138"/>
      <c r="TYA5" s="138"/>
      <c r="TYB5" s="138"/>
      <c r="TYC5" s="138"/>
      <c r="TYD5" s="138"/>
      <c r="TYE5" s="138"/>
      <c r="TYF5" s="138"/>
      <c r="TYG5" s="138"/>
      <c r="TYH5" s="138"/>
      <c r="TYI5" s="138"/>
      <c r="TYJ5" s="138"/>
      <c r="TYK5" s="138"/>
      <c r="TYL5" s="138"/>
      <c r="TYM5" s="138"/>
      <c r="TYN5" s="138"/>
      <c r="TYO5" s="138"/>
      <c r="TYP5" s="138"/>
      <c r="TYQ5" s="138"/>
      <c r="TYR5" s="138"/>
      <c r="TYS5" s="138"/>
      <c r="TYT5" s="138"/>
      <c r="TYU5" s="138"/>
      <c r="TYV5" s="138"/>
      <c r="TYW5" s="138"/>
      <c r="TYX5" s="138"/>
      <c r="TYY5" s="138"/>
      <c r="TYZ5" s="138"/>
      <c r="TZA5" s="138"/>
      <c r="TZB5" s="138"/>
      <c r="TZC5" s="138"/>
      <c r="TZD5" s="138"/>
      <c r="TZE5" s="138"/>
      <c r="TZF5" s="138"/>
      <c r="TZG5" s="138"/>
      <c r="TZH5" s="138"/>
      <c r="TZI5" s="138"/>
      <c r="TZJ5" s="138"/>
      <c r="TZK5" s="138"/>
      <c r="TZL5" s="138"/>
      <c r="TZM5" s="138"/>
      <c r="TZN5" s="138"/>
      <c r="TZO5" s="138"/>
      <c r="TZP5" s="138"/>
      <c r="TZQ5" s="138"/>
      <c r="TZR5" s="138"/>
      <c r="TZS5" s="138"/>
      <c r="TZT5" s="138"/>
      <c r="TZU5" s="138"/>
      <c r="TZV5" s="138"/>
      <c r="TZW5" s="138"/>
      <c r="TZX5" s="138"/>
      <c r="TZY5" s="138"/>
      <c r="TZZ5" s="138"/>
      <c r="UAA5" s="138"/>
      <c r="UAB5" s="138"/>
      <c r="UAC5" s="138"/>
      <c r="UAD5" s="138"/>
      <c r="UAE5" s="138"/>
      <c r="UAF5" s="138"/>
      <c r="UAG5" s="138"/>
      <c r="UAH5" s="138"/>
      <c r="UAI5" s="138"/>
      <c r="UAJ5" s="138"/>
      <c r="UAK5" s="138"/>
      <c r="UAL5" s="138"/>
      <c r="UAM5" s="138"/>
      <c r="UAN5" s="138"/>
      <c r="UAO5" s="138"/>
      <c r="UAP5" s="138"/>
      <c r="UAQ5" s="138"/>
      <c r="UAR5" s="138"/>
      <c r="UAS5" s="138"/>
      <c r="UAT5" s="138"/>
      <c r="UAU5" s="138"/>
      <c r="UAV5" s="138"/>
      <c r="UAW5" s="138"/>
      <c r="UAX5" s="138"/>
      <c r="UAY5" s="138"/>
      <c r="UAZ5" s="138"/>
      <c r="UBA5" s="138"/>
      <c r="UBB5" s="138"/>
      <c r="UBC5" s="138"/>
      <c r="UBD5" s="138"/>
      <c r="UBE5" s="138"/>
      <c r="UBF5" s="138"/>
      <c r="UBG5" s="138"/>
      <c r="UBH5" s="138"/>
      <c r="UBI5" s="138"/>
      <c r="UBJ5" s="138"/>
      <c r="UBK5" s="138"/>
      <c r="UBL5" s="138"/>
      <c r="UBM5" s="138"/>
      <c r="UBN5" s="138"/>
      <c r="UBO5" s="138"/>
      <c r="UBP5" s="138"/>
      <c r="UBQ5" s="138"/>
      <c r="UBR5" s="138"/>
      <c r="UBS5" s="138"/>
      <c r="UBT5" s="138"/>
      <c r="UBU5" s="138"/>
      <c r="UBV5" s="138"/>
      <c r="UBW5" s="138"/>
      <c r="UBX5" s="138"/>
      <c r="UBY5" s="138"/>
      <c r="UBZ5" s="138"/>
      <c r="UCA5" s="138"/>
      <c r="UCB5" s="138"/>
      <c r="UCC5" s="138"/>
      <c r="UCD5" s="138"/>
      <c r="UCE5" s="138"/>
      <c r="UCF5" s="138"/>
      <c r="UCG5" s="138"/>
      <c r="UCH5" s="138"/>
      <c r="UCI5" s="138"/>
      <c r="UCJ5" s="138"/>
      <c r="UCK5" s="138"/>
      <c r="UCL5" s="138"/>
      <c r="UCM5" s="138"/>
      <c r="UCN5" s="138"/>
      <c r="UCO5" s="138"/>
      <c r="UCP5" s="138"/>
      <c r="UCQ5" s="138"/>
      <c r="UCR5" s="138"/>
      <c r="UCS5" s="138"/>
      <c r="UCT5" s="138"/>
      <c r="UCU5" s="138"/>
      <c r="UCV5" s="138"/>
      <c r="UCW5" s="138"/>
      <c r="UCX5" s="138"/>
      <c r="UCY5" s="138"/>
      <c r="UCZ5" s="138"/>
      <c r="UDA5" s="138"/>
      <c r="UDB5" s="138"/>
      <c r="UDC5" s="138"/>
      <c r="UDD5" s="138"/>
      <c r="UDE5" s="138"/>
      <c r="UDF5" s="138"/>
      <c r="UDG5" s="138"/>
      <c r="UDH5" s="138"/>
      <c r="UDI5" s="138"/>
      <c r="UDJ5" s="138"/>
      <c r="UDK5" s="138"/>
      <c r="UDL5" s="138"/>
      <c r="UDM5" s="138"/>
      <c r="UDN5" s="138"/>
      <c r="UDO5" s="138"/>
      <c r="UDP5" s="138"/>
      <c r="UDQ5" s="138"/>
      <c r="UDR5" s="138"/>
      <c r="UDS5" s="138"/>
      <c r="UDT5" s="138"/>
      <c r="UDU5" s="138"/>
      <c r="UDV5" s="138"/>
      <c r="UDW5" s="138"/>
      <c r="UDX5" s="138"/>
      <c r="UDY5" s="138"/>
      <c r="UDZ5" s="138"/>
      <c r="UEA5" s="138"/>
      <c r="UEB5" s="138"/>
      <c r="UEC5" s="138"/>
      <c r="UED5" s="138"/>
      <c r="UEE5" s="138"/>
      <c r="UEF5" s="138"/>
      <c r="UEG5" s="138"/>
      <c r="UEH5" s="138"/>
      <c r="UEI5" s="138"/>
      <c r="UEJ5" s="138"/>
      <c r="UEK5" s="138"/>
      <c r="UEL5" s="138"/>
      <c r="UEM5" s="138"/>
      <c r="UEN5" s="138"/>
      <c r="UEO5" s="138"/>
      <c r="UEP5" s="138"/>
      <c r="UEQ5" s="138"/>
      <c r="UER5" s="138"/>
      <c r="UES5" s="138"/>
      <c r="UET5" s="138"/>
      <c r="UEU5" s="138"/>
      <c r="UEV5" s="138"/>
      <c r="UEW5" s="138"/>
      <c r="UEX5" s="138"/>
      <c r="UEY5" s="138"/>
      <c r="UEZ5" s="138"/>
      <c r="UFA5" s="138"/>
      <c r="UFB5" s="138"/>
      <c r="UFC5" s="138"/>
      <c r="UFD5" s="138"/>
      <c r="UFE5" s="138"/>
      <c r="UFF5" s="138"/>
      <c r="UFG5" s="138"/>
      <c r="UFH5" s="138"/>
      <c r="UFI5" s="138"/>
      <c r="UFJ5" s="138"/>
      <c r="UFK5" s="138"/>
      <c r="UFL5" s="138"/>
      <c r="UFM5" s="138"/>
      <c r="UFN5" s="138"/>
      <c r="UFO5" s="138"/>
      <c r="UFP5" s="138"/>
      <c r="UFQ5" s="138"/>
      <c r="UFR5" s="138"/>
      <c r="UFS5" s="138"/>
      <c r="UFT5" s="138"/>
      <c r="UFU5" s="138"/>
      <c r="UFV5" s="138"/>
      <c r="UFW5" s="138"/>
      <c r="UFX5" s="138"/>
      <c r="UFY5" s="138"/>
      <c r="UFZ5" s="138"/>
      <c r="UGA5" s="138"/>
      <c r="UGB5" s="138"/>
      <c r="UGC5" s="138"/>
      <c r="UGD5" s="138"/>
      <c r="UGE5" s="138"/>
      <c r="UGF5" s="138"/>
      <c r="UGG5" s="138"/>
      <c r="UGH5" s="138"/>
      <c r="UGI5" s="138"/>
      <c r="UGJ5" s="138"/>
      <c r="UGK5" s="138"/>
      <c r="UGL5" s="138"/>
      <c r="UGM5" s="138"/>
      <c r="UGN5" s="138"/>
      <c r="UGO5" s="138"/>
      <c r="UGP5" s="138"/>
      <c r="UGQ5" s="138"/>
      <c r="UGR5" s="138"/>
      <c r="UGS5" s="138"/>
      <c r="UGT5" s="138"/>
      <c r="UGU5" s="138"/>
      <c r="UGV5" s="138"/>
      <c r="UGW5" s="138"/>
      <c r="UGX5" s="138"/>
      <c r="UGY5" s="138"/>
      <c r="UGZ5" s="138"/>
      <c r="UHA5" s="138"/>
      <c r="UHB5" s="138"/>
      <c r="UHC5" s="138"/>
      <c r="UHD5" s="138"/>
      <c r="UHE5" s="138"/>
      <c r="UHF5" s="138"/>
      <c r="UHG5" s="138"/>
      <c r="UHH5" s="138"/>
      <c r="UHI5" s="138"/>
      <c r="UHJ5" s="138"/>
      <c r="UHK5" s="138"/>
      <c r="UHL5" s="138"/>
      <c r="UHM5" s="138"/>
      <c r="UHN5" s="138"/>
      <c r="UHO5" s="138"/>
      <c r="UHP5" s="138"/>
      <c r="UHQ5" s="138"/>
      <c r="UHR5" s="138"/>
      <c r="UHS5" s="138"/>
      <c r="UHT5" s="138"/>
      <c r="UHU5" s="138"/>
      <c r="UHV5" s="138"/>
      <c r="UHW5" s="138"/>
      <c r="UHX5" s="138"/>
      <c r="UHY5" s="138"/>
      <c r="UHZ5" s="138"/>
      <c r="UIA5" s="138"/>
      <c r="UIB5" s="138"/>
      <c r="UIC5" s="138"/>
      <c r="UID5" s="138"/>
      <c r="UIE5" s="138"/>
      <c r="UIF5" s="138"/>
      <c r="UIG5" s="138"/>
      <c r="UIH5" s="138"/>
      <c r="UII5" s="138"/>
      <c r="UIJ5" s="138"/>
      <c r="UIK5" s="138"/>
      <c r="UIL5" s="138"/>
      <c r="UIM5" s="138"/>
      <c r="UIN5" s="138"/>
      <c r="UIO5" s="138"/>
      <c r="UIP5" s="138"/>
      <c r="UIQ5" s="138"/>
      <c r="UIR5" s="138"/>
      <c r="UIS5" s="138"/>
      <c r="UIT5" s="138"/>
      <c r="UIU5" s="138"/>
      <c r="UIV5" s="138"/>
      <c r="UIW5" s="138"/>
      <c r="UIX5" s="138"/>
      <c r="UIY5" s="138"/>
      <c r="UIZ5" s="138"/>
      <c r="UJA5" s="138"/>
      <c r="UJB5" s="138"/>
      <c r="UJC5" s="138"/>
      <c r="UJD5" s="138"/>
      <c r="UJE5" s="138"/>
      <c r="UJF5" s="138"/>
      <c r="UJG5" s="138"/>
      <c r="UJH5" s="138"/>
      <c r="UJI5" s="138"/>
      <c r="UJJ5" s="138"/>
      <c r="UJK5" s="138"/>
      <c r="UJL5" s="138"/>
      <c r="UJM5" s="138"/>
      <c r="UJN5" s="138"/>
      <c r="UJO5" s="138"/>
      <c r="UJP5" s="138"/>
      <c r="UJQ5" s="138"/>
      <c r="UJR5" s="138"/>
      <c r="UJS5" s="138"/>
      <c r="UJT5" s="138"/>
      <c r="UJU5" s="138"/>
      <c r="UJV5" s="138"/>
      <c r="UJW5" s="138"/>
      <c r="UJX5" s="138"/>
      <c r="UJY5" s="138"/>
      <c r="UJZ5" s="138"/>
      <c r="UKA5" s="138"/>
      <c r="UKB5" s="138"/>
      <c r="UKC5" s="138"/>
      <c r="UKD5" s="138"/>
      <c r="UKE5" s="138"/>
      <c r="UKF5" s="138"/>
      <c r="UKG5" s="138"/>
      <c r="UKH5" s="138"/>
      <c r="UKI5" s="138"/>
      <c r="UKJ5" s="138"/>
      <c r="UKK5" s="138"/>
      <c r="UKL5" s="138"/>
      <c r="UKM5" s="138"/>
      <c r="UKN5" s="138"/>
      <c r="UKO5" s="138"/>
      <c r="UKP5" s="138"/>
      <c r="UKQ5" s="138"/>
      <c r="UKR5" s="138"/>
      <c r="UKS5" s="138"/>
      <c r="UKT5" s="138"/>
      <c r="UKU5" s="138"/>
      <c r="UKV5" s="138"/>
      <c r="UKW5" s="138"/>
      <c r="UKX5" s="138"/>
      <c r="UKY5" s="138"/>
      <c r="UKZ5" s="138"/>
      <c r="ULA5" s="138"/>
      <c r="ULB5" s="138"/>
      <c r="ULC5" s="138"/>
      <c r="ULD5" s="138"/>
      <c r="ULE5" s="138"/>
      <c r="ULF5" s="138"/>
      <c r="ULG5" s="138"/>
      <c r="ULH5" s="138"/>
      <c r="ULI5" s="138"/>
      <c r="ULJ5" s="138"/>
      <c r="ULK5" s="138"/>
      <c r="ULL5" s="138"/>
      <c r="ULM5" s="138"/>
      <c r="ULN5" s="138"/>
      <c r="ULO5" s="138"/>
      <c r="ULP5" s="138"/>
      <c r="ULQ5" s="138"/>
      <c r="ULR5" s="138"/>
      <c r="ULS5" s="138"/>
      <c r="ULT5" s="138"/>
      <c r="ULU5" s="138"/>
      <c r="ULV5" s="138"/>
      <c r="ULW5" s="138"/>
      <c r="ULX5" s="138"/>
      <c r="ULY5" s="138"/>
      <c r="ULZ5" s="138"/>
      <c r="UMA5" s="138"/>
      <c r="UMB5" s="138"/>
      <c r="UMC5" s="138"/>
      <c r="UMD5" s="138"/>
      <c r="UME5" s="138"/>
      <c r="UMF5" s="138"/>
      <c r="UMG5" s="138"/>
      <c r="UMH5" s="138"/>
      <c r="UMI5" s="138"/>
      <c r="UMJ5" s="138"/>
      <c r="UMK5" s="138"/>
      <c r="UML5" s="138"/>
      <c r="UMM5" s="138"/>
      <c r="UMN5" s="138"/>
      <c r="UMO5" s="138"/>
      <c r="UMP5" s="138"/>
      <c r="UMQ5" s="138"/>
      <c r="UMR5" s="138"/>
      <c r="UMS5" s="138"/>
      <c r="UMT5" s="138"/>
      <c r="UMU5" s="138"/>
      <c r="UMV5" s="138"/>
      <c r="UMW5" s="138"/>
      <c r="UMX5" s="138"/>
      <c r="UMY5" s="138"/>
      <c r="UMZ5" s="138"/>
      <c r="UNA5" s="138"/>
      <c r="UNB5" s="138"/>
      <c r="UNC5" s="138"/>
      <c r="UND5" s="138"/>
      <c r="UNE5" s="138"/>
      <c r="UNF5" s="138"/>
      <c r="UNG5" s="138"/>
      <c r="UNH5" s="138"/>
      <c r="UNI5" s="138"/>
      <c r="UNJ5" s="138"/>
      <c r="UNK5" s="138"/>
      <c r="UNL5" s="138"/>
      <c r="UNM5" s="138"/>
      <c r="UNN5" s="138"/>
      <c r="UNO5" s="138"/>
      <c r="UNP5" s="138"/>
      <c r="UNQ5" s="138"/>
      <c r="UNR5" s="138"/>
      <c r="UNS5" s="138"/>
      <c r="UNT5" s="138"/>
      <c r="UNU5" s="138"/>
      <c r="UNV5" s="138"/>
      <c r="UNW5" s="138"/>
      <c r="UNX5" s="138"/>
      <c r="UNY5" s="138"/>
      <c r="UNZ5" s="138"/>
      <c r="UOA5" s="138"/>
      <c r="UOB5" s="138"/>
      <c r="UOC5" s="138"/>
      <c r="UOD5" s="138"/>
      <c r="UOE5" s="138"/>
      <c r="UOF5" s="138"/>
      <c r="UOG5" s="138"/>
      <c r="UOH5" s="138"/>
      <c r="UOI5" s="138"/>
      <c r="UOJ5" s="138"/>
      <c r="UOK5" s="138"/>
      <c r="UOL5" s="138"/>
      <c r="UOM5" s="138"/>
      <c r="UON5" s="138"/>
      <c r="UOO5" s="138"/>
      <c r="UOP5" s="138"/>
      <c r="UOQ5" s="138"/>
      <c r="UOR5" s="138"/>
      <c r="UOS5" s="138"/>
      <c r="UOT5" s="138"/>
      <c r="UOU5" s="138"/>
      <c r="UOV5" s="138"/>
      <c r="UOW5" s="138"/>
      <c r="UOX5" s="138"/>
      <c r="UOY5" s="138"/>
      <c r="UOZ5" s="138"/>
      <c r="UPA5" s="138"/>
      <c r="UPB5" s="138"/>
      <c r="UPC5" s="138"/>
      <c r="UPD5" s="138"/>
      <c r="UPE5" s="138"/>
      <c r="UPF5" s="138"/>
      <c r="UPG5" s="138"/>
      <c r="UPH5" s="138"/>
      <c r="UPI5" s="138"/>
      <c r="UPJ5" s="138"/>
      <c r="UPK5" s="138"/>
      <c r="UPL5" s="138"/>
      <c r="UPM5" s="138"/>
      <c r="UPN5" s="138"/>
      <c r="UPO5" s="138"/>
      <c r="UPP5" s="138"/>
      <c r="UPQ5" s="138"/>
      <c r="UPR5" s="138"/>
      <c r="UPS5" s="138"/>
      <c r="UPT5" s="138"/>
      <c r="UPU5" s="138"/>
      <c r="UPV5" s="138"/>
      <c r="UPW5" s="138"/>
      <c r="UPX5" s="138"/>
      <c r="UPY5" s="138"/>
      <c r="UPZ5" s="138"/>
      <c r="UQA5" s="138"/>
      <c r="UQB5" s="138"/>
      <c r="UQC5" s="138"/>
      <c r="UQD5" s="138"/>
      <c r="UQE5" s="138"/>
      <c r="UQF5" s="138"/>
      <c r="UQG5" s="138"/>
      <c r="UQH5" s="138"/>
      <c r="UQI5" s="138"/>
      <c r="UQJ5" s="138"/>
      <c r="UQK5" s="138"/>
      <c r="UQL5" s="138"/>
      <c r="UQM5" s="138"/>
      <c r="UQN5" s="138"/>
      <c r="UQO5" s="138"/>
      <c r="UQP5" s="138"/>
      <c r="UQQ5" s="138"/>
      <c r="UQR5" s="138"/>
      <c r="UQS5" s="138"/>
      <c r="UQT5" s="138"/>
      <c r="UQU5" s="138"/>
      <c r="UQV5" s="138"/>
      <c r="UQW5" s="138"/>
      <c r="UQX5" s="138"/>
      <c r="UQY5" s="138"/>
      <c r="UQZ5" s="138"/>
      <c r="URA5" s="138"/>
      <c r="URB5" s="138"/>
      <c r="URC5" s="138"/>
      <c r="URD5" s="138"/>
      <c r="URE5" s="138"/>
      <c r="URF5" s="138"/>
      <c r="URG5" s="138"/>
      <c r="URH5" s="138"/>
      <c r="URI5" s="138"/>
      <c r="URJ5" s="138"/>
      <c r="URK5" s="138"/>
      <c r="URL5" s="138"/>
      <c r="URM5" s="138"/>
      <c r="URN5" s="138"/>
      <c r="URO5" s="138"/>
      <c r="URP5" s="138"/>
      <c r="URQ5" s="138"/>
      <c r="URR5" s="138"/>
      <c r="URS5" s="138"/>
      <c r="URT5" s="138"/>
      <c r="URU5" s="138"/>
      <c r="URV5" s="138"/>
      <c r="URW5" s="138"/>
      <c r="URX5" s="138"/>
      <c r="URY5" s="138"/>
      <c r="URZ5" s="138"/>
      <c r="USA5" s="138"/>
      <c r="USB5" s="138"/>
      <c r="USC5" s="138"/>
      <c r="USD5" s="138"/>
      <c r="USE5" s="138"/>
      <c r="USF5" s="138"/>
      <c r="USG5" s="138"/>
      <c r="USH5" s="138"/>
      <c r="USI5" s="138"/>
      <c r="USJ5" s="138"/>
      <c r="USK5" s="138"/>
      <c r="USL5" s="138"/>
      <c r="USM5" s="138"/>
      <c r="USN5" s="138"/>
      <c r="USO5" s="138"/>
      <c r="USP5" s="138"/>
      <c r="USQ5" s="138"/>
      <c r="USR5" s="138"/>
      <c r="USS5" s="138"/>
      <c r="UST5" s="138"/>
      <c r="USU5" s="138"/>
      <c r="USV5" s="138"/>
      <c r="USW5" s="138"/>
      <c r="USX5" s="138"/>
      <c r="USY5" s="138"/>
      <c r="USZ5" s="138"/>
      <c r="UTA5" s="138"/>
      <c r="UTB5" s="138"/>
      <c r="UTC5" s="138"/>
      <c r="UTD5" s="138"/>
      <c r="UTE5" s="138"/>
      <c r="UTF5" s="138"/>
      <c r="UTG5" s="138"/>
      <c r="UTH5" s="138"/>
      <c r="UTI5" s="138"/>
      <c r="UTJ5" s="138"/>
      <c r="UTK5" s="138"/>
      <c r="UTL5" s="138"/>
      <c r="UTM5" s="138"/>
      <c r="UTN5" s="138"/>
      <c r="UTO5" s="138"/>
      <c r="UTP5" s="138"/>
      <c r="UTQ5" s="138"/>
      <c r="UTR5" s="138"/>
      <c r="UTS5" s="138"/>
      <c r="UTT5" s="138"/>
      <c r="UTU5" s="138"/>
      <c r="UTV5" s="138"/>
      <c r="UTW5" s="138"/>
      <c r="UTX5" s="138"/>
      <c r="UTY5" s="138"/>
      <c r="UTZ5" s="138"/>
      <c r="UUA5" s="138"/>
      <c r="UUB5" s="138"/>
      <c r="UUC5" s="138"/>
      <c r="UUD5" s="138"/>
      <c r="UUE5" s="138"/>
      <c r="UUF5" s="138"/>
      <c r="UUG5" s="138"/>
      <c r="UUH5" s="138"/>
      <c r="UUI5" s="138"/>
      <c r="UUJ5" s="138"/>
      <c r="UUK5" s="138"/>
      <c r="UUL5" s="138"/>
      <c r="UUM5" s="138"/>
      <c r="UUN5" s="138"/>
      <c r="UUO5" s="138"/>
      <c r="UUP5" s="138"/>
      <c r="UUQ5" s="138"/>
      <c r="UUR5" s="138"/>
      <c r="UUS5" s="138"/>
      <c r="UUT5" s="138"/>
      <c r="UUU5" s="138"/>
      <c r="UUV5" s="138"/>
      <c r="UUW5" s="138"/>
      <c r="UUX5" s="138"/>
      <c r="UUY5" s="138"/>
      <c r="UUZ5" s="138"/>
      <c r="UVA5" s="138"/>
      <c r="UVB5" s="138"/>
      <c r="UVC5" s="138"/>
      <c r="UVD5" s="138"/>
      <c r="UVE5" s="138"/>
      <c r="UVF5" s="138"/>
      <c r="UVG5" s="138"/>
      <c r="UVH5" s="138"/>
      <c r="UVI5" s="138"/>
      <c r="UVJ5" s="138"/>
      <c r="UVK5" s="138"/>
      <c r="UVL5" s="138"/>
      <c r="UVM5" s="138"/>
      <c r="UVN5" s="138"/>
      <c r="UVO5" s="138"/>
      <c r="UVP5" s="138"/>
      <c r="UVQ5" s="138"/>
      <c r="UVR5" s="138"/>
      <c r="UVS5" s="138"/>
      <c r="UVT5" s="138"/>
      <c r="UVU5" s="138"/>
      <c r="UVV5" s="138"/>
      <c r="UVW5" s="138"/>
      <c r="UVX5" s="138"/>
      <c r="UVY5" s="138"/>
      <c r="UVZ5" s="138"/>
      <c r="UWA5" s="138"/>
      <c r="UWB5" s="138"/>
      <c r="UWC5" s="138"/>
      <c r="UWD5" s="138"/>
      <c r="UWE5" s="138"/>
      <c r="UWF5" s="138"/>
      <c r="UWG5" s="138"/>
      <c r="UWH5" s="138"/>
      <c r="UWI5" s="138"/>
      <c r="UWJ5" s="138"/>
      <c r="UWK5" s="138"/>
      <c r="UWL5" s="138"/>
      <c r="UWM5" s="138"/>
      <c r="UWN5" s="138"/>
      <c r="UWO5" s="138"/>
      <c r="UWP5" s="138"/>
      <c r="UWQ5" s="138"/>
      <c r="UWR5" s="138"/>
      <c r="UWS5" s="138"/>
      <c r="UWT5" s="138"/>
      <c r="UWU5" s="138"/>
      <c r="UWV5" s="138"/>
      <c r="UWW5" s="138"/>
      <c r="UWX5" s="138"/>
      <c r="UWY5" s="138"/>
      <c r="UWZ5" s="138"/>
      <c r="UXA5" s="138"/>
      <c r="UXB5" s="138"/>
      <c r="UXC5" s="138"/>
      <c r="UXD5" s="138"/>
      <c r="UXE5" s="138"/>
      <c r="UXF5" s="138"/>
      <c r="UXG5" s="138"/>
      <c r="UXH5" s="138"/>
      <c r="UXI5" s="138"/>
      <c r="UXJ5" s="138"/>
      <c r="UXK5" s="138"/>
      <c r="UXL5" s="138"/>
      <c r="UXM5" s="138"/>
      <c r="UXN5" s="138"/>
      <c r="UXO5" s="138"/>
      <c r="UXP5" s="138"/>
      <c r="UXQ5" s="138"/>
      <c r="UXR5" s="138"/>
      <c r="UXS5" s="138"/>
      <c r="UXT5" s="138"/>
      <c r="UXU5" s="138"/>
      <c r="UXV5" s="138"/>
      <c r="UXW5" s="138"/>
      <c r="UXX5" s="138"/>
      <c r="UXY5" s="138"/>
      <c r="UXZ5" s="138"/>
      <c r="UYA5" s="138"/>
      <c r="UYB5" s="138"/>
      <c r="UYC5" s="138"/>
      <c r="UYD5" s="138"/>
      <c r="UYE5" s="138"/>
      <c r="UYF5" s="138"/>
      <c r="UYG5" s="138"/>
      <c r="UYH5" s="138"/>
      <c r="UYI5" s="138"/>
      <c r="UYJ5" s="138"/>
      <c r="UYK5" s="138"/>
      <c r="UYL5" s="138"/>
      <c r="UYM5" s="138"/>
      <c r="UYN5" s="138"/>
      <c r="UYO5" s="138"/>
      <c r="UYP5" s="138"/>
      <c r="UYQ5" s="138"/>
      <c r="UYR5" s="138"/>
      <c r="UYS5" s="138"/>
      <c r="UYT5" s="138"/>
      <c r="UYU5" s="138"/>
      <c r="UYV5" s="138"/>
      <c r="UYW5" s="138"/>
      <c r="UYX5" s="138"/>
      <c r="UYY5" s="138"/>
      <c r="UYZ5" s="138"/>
      <c r="UZA5" s="138"/>
      <c r="UZB5" s="138"/>
      <c r="UZC5" s="138"/>
      <c r="UZD5" s="138"/>
      <c r="UZE5" s="138"/>
      <c r="UZF5" s="138"/>
      <c r="UZG5" s="138"/>
      <c r="UZH5" s="138"/>
      <c r="UZI5" s="138"/>
      <c r="UZJ5" s="138"/>
      <c r="UZK5" s="138"/>
      <c r="UZL5" s="138"/>
      <c r="UZM5" s="138"/>
      <c r="UZN5" s="138"/>
      <c r="UZO5" s="138"/>
      <c r="UZP5" s="138"/>
      <c r="UZQ5" s="138"/>
      <c r="UZR5" s="138"/>
      <c r="UZS5" s="138"/>
      <c r="UZT5" s="138"/>
      <c r="UZU5" s="138"/>
      <c r="UZV5" s="138"/>
      <c r="UZW5" s="138"/>
      <c r="UZX5" s="138"/>
      <c r="UZY5" s="138"/>
      <c r="UZZ5" s="138"/>
      <c r="VAA5" s="138"/>
      <c r="VAB5" s="138"/>
      <c r="VAC5" s="138"/>
      <c r="VAD5" s="138"/>
      <c r="VAE5" s="138"/>
      <c r="VAF5" s="138"/>
      <c r="VAG5" s="138"/>
      <c r="VAH5" s="138"/>
      <c r="VAI5" s="138"/>
      <c r="VAJ5" s="138"/>
      <c r="VAK5" s="138"/>
      <c r="VAL5" s="138"/>
      <c r="VAM5" s="138"/>
      <c r="VAN5" s="138"/>
      <c r="VAO5" s="138"/>
      <c r="VAP5" s="138"/>
      <c r="VAQ5" s="138"/>
      <c r="VAR5" s="138"/>
      <c r="VAS5" s="138"/>
      <c r="VAT5" s="138"/>
      <c r="VAU5" s="138"/>
      <c r="VAV5" s="138"/>
      <c r="VAW5" s="138"/>
      <c r="VAX5" s="138"/>
      <c r="VAY5" s="138"/>
      <c r="VAZ5" s="138"/>
      <c r="VBA5" s="138"/>
      <c r="VBB5" s="138"/>
      <c r="VBC5" s="138"/>
      <c r="VBD5" s="138"/>
      <c r="VBE5" s="138"/>
      <c r="VBF5" s="138"/>
      <c r="VBG5" s="138"/>
      <c r="VBH5" s="138"/>
      <c r="VBI5" s="138"/>
      <c r="VBJ5" s="138"/>
      <c r="VBK5" s="138"/>
      <c r="VBL5" s="138"/>
      <c r="VBM5" s="138"/>
      <c r="VBN5" s="138"/>
      <c r="VBO5" s="138"/>
      <c r="VBP5" s="138"/>
      <c r="VBQ5" s="138"/>
      <c r="VBR5" s="138"/>
      <c r="VBS5" s="138"/>
      <c r="VBT5" s="138"/>
      <c r="VBU5" s="138"/>
      <c r="VBV5" s="138"/>
      <c r="VBW5" s="138"/>
      <c r="VBX5" s="138"/>
      <c r="VBY5" s="138"/>
      <c r="VBZ5" s="138"/>
      <c r="VCA5" s="138"/>
      <c r="VCB5" s="138"/>
      <c r="VCC5" s="138"/>
      <c r="VCD5" s="138"/>
      <c r="VCE5" s="138"/>
      <c r="VCF5" s="138"/>
      <c r="VCG5" s="138"/>
      <c r="VCH5" s="138"/>
      <c r="VCI5" s="138"/>
      <c r="VCJ5" s="138"/>
      <c r="VCK5" s="138"/>
      <c r="VCL5" s="138"/>
      <c r="VCM5" s="138"/>
      <c r="VCN5" s="138"/>
      <c r="VCO5" s="138"/>
      <c r="VCP5" s="138"/>
      <c r="VCQ5" s="138"/>
      <c r="VCR5" s="138"/>
      <c r="VCS5" s="138"/>
      <c r="VCT5" s="138"/>
      <c r="VCU5" s="138"/>
      <c r="VCV5" s="138"/>
      <c r="VCW5" s="138"/>
      <c r="VCX5" s="138"/>
      <c r="VCY5" s="138"/>
      <c r="VCZ5" s="138"/>
      <c r="VDA5" s="138"/>
      <c r="VDB5" s="138"/>
      <c r="VDC5" s="138"/>
      <c r="VDD5" s="138"/>
      <c r="VDE5" s="138"/>
      <c r="VDF5" s="138"/>
      <c r="VDG5" s="138"/>
      <c r="VDH5" s="138"/>
      <c r="VDI5" s="138"/>
      <c r="VDJ5" s="138"/>
      <c r="VDK5" s="138"/>
      <c r="VDL5" s="138"/>
      <c r="VDM5" s="138"/>
      <c r="VDN5" s="138"/>
      <c r="VDO5" s="138"/>
      <c r="VDP5" s="138"/>
      <c r="VDQ5" s="138"/>
      <c r="VDR5" s="138"/>
      <c r="VDS5" s="138"/>
      <c r="VDT5" s="138"/>
      <c r="VDU5" s="138"/>
      <c r="VDV5" s="138"/>
      <c r="VDW5" s="138"/>
      <c r="VDX5" s="138"/>
      <c r="VDY5" s="138"/>
      <c r="VDZ5" s="138"/>
      <c r="VEA5" s="138"/>
      <c r="VEB5" s="138"/>
      <c r="VEC5" s="138"/>
      <c r="VED5" s="138"/>
      <c r="VEE5" s="138"/>
      <c r="VEF5" s="138"/>
      <c r="VEG5" s="138"/>
      <c r="VEH5" s="138"/>
      <c r="VEI5" s="138"/>
      <c r="VEJ5" s="138"/>
      <c r="VEK5" s="138"/>
      <c r="VEL5" s="138"/>
      <c r="VEM5" s="138"/>
      <c r="VEN5" s="138"/>
      <c r="VEO5" s="138"/>
      <c r="VEP5" s="138"/>
      <c r="VEQ5" s="138"/>
      <c r="VER5" s="138"/>
      <c r="VES5" s="138"/>
      <c r="VET5" s="138"/>
      <c r="VEU5" s="138"/>
      <c r="VEV5" s="138"/>
      <c r="VEW5" s="138"/>
      <c r="VEX5" s="138"/>
      <c r="VEY5" s="138"/>
      <c r="VEZ5" s="138"/>
      <c r="VFA5" s="138"/>
      <c r="VFB5" s="138"/>
      <c r="VFC5" s="138"/>
      <c r="VFD5" s="138"/>
      <c r="VFE5" s="138"/>
      <c r="VFF5" s="138"/>
      <c r="VFG5" s="138"/>
      <c r="VFH5" s="138"/>
      <c r="VFI5" s="138"/>
      <c r="VFJ5" s="138"/>
      <c r="VFK5" s="138"/>
      <c r="VFL5" s="138"/>
      <c r="VFM5" s="138"/>
      <c r="VFN5" s="138"/>
      <c r="VFO5" s="138"/>
      <c r="VFP5" s="138"/>
      <c r="VFQ5" s="138"/>
      <c r="VFR5" s="138"/>
      <c r="VFS5" s="138"/>
      <c r="VFT5" s="138"/>
      <c r="VFU5" s="138"/>
      <c r="VFV5" s="138"/>
      <c r="VFW5" s="138"/>
      <c r="VFX5" s="138"/>
      <c r="VFY5" s="138"/>
      <c r="VFZ5" s="138"/>
      <c r="VGA5" s="138"/>
      <c r="VGB5" s="138"/>
      <c r="VGC5" s="138"/>
      <c r="VGD5" s="138"/>
      <c r="VGE5" s="138"/>
      <c r="VGF5" s="138"/>
      <c r="VGG5" s="138"/>
      <c r="VGH5" s="138"/>
      <c r="VGI5" s="138"/>
      <c r="VGJ5" s="138"/>
      <c r="VGK5" s="138"/>
      <c r="VGL5" s="138"/>
      <c r="VGM5" s="138"/>
      <c r="VGN5" s="138"/>
      <c r="VGO5" s="138"/>
      <c r="VGP5" s="138"/>
      <c r="VGQ5" s="138"/>
      <c r="VGR5" s="138"/>
      <c r="VGS5" s="138"/>
      <c r="VGT5" s="138"/>
      <c r="VGU5" s="138"/>
      <c r="VGV5" s="138"/>
      <c r="VGW5" s="138"/>
      <c r="VGX5" s="138"/>
      <c r="VGY5" s="138"/>
      <c r="VGZ5" s="138"/>
      <c r="VHA5" s="138"/>
      <c r="VHB5" s="138"/>
      <c r="VHC5" s="138"/>
      <c r="VHD5" s="138"/>
      <c r="VHE5" s="138"/>
      <c r="VHF5" s="138"/>
      <c r="VHG5" s="138"/>
      <c r="VHH5" s="138"/>
      <c r="VHI5" s="138"/>
      <c r="VHJ5" s="138"/>
      <c r="VHK5" s="138"/>
      <c r="VHL5" s="138"/>
      <c r="VHM5" s="138"/>
      <c r="VHN5" s="138"/>
      <c r="VHO5" s="138"/>
      <c r="VHP5" s="138"/>
      <c r="VHQ5" s="138"/>
      <c r="VHR5" s="138"/>
      <c r="VHS5" s="138"/>
      <c r="VHT5" s="138"/>
      <c r="VHU5" s="138"/>
      <c r="VHV5" s="138"/>
      <c r="VHW5" s="138"/>
      <c r="VHX5" s="138"/>
      <c r="VHY5" s="138"/>
      <c r="VHZ5" s="138"/>
      <c r="VIA5" s="138"/>
      <c r="VIB5" s="138"/>
      <c r="VIC5" s="138"/>
      <c r="VID5" s="138"/>
      <c r="VIE5" s="138"/>
      <c r="VIF5" s="138"/>
      <c r="VIG5" s="138"/>
      <c r="VIH5" s="138"/>
      <c r="VII5" s="138"/>
      <c r="VIJ5" s="138"/>
      <c r="VIK5" s="138"/>
      <c r="VIL5" s="138"/>
      <c r="VIM5" s="138"/>
      <c r="VIN5" s="138"/>
      <c r="VIO5" s="138"/>
      <c r="VIP5" s="138"/>
      <c r="VIQ5" s="138"/>
      <c r="VIR5" s="138"/>
      <c r="VIS5" s="138"/>
      <c r="VIT5" s="138"/>
      <c r="VIU5" s="138"/>
      <c r="VIV5" s="138"/>
      <c r="VIW5" s="138"/>
      <c r="VIX5" s="138"/>
      <c r="VIY5" s="138"/>
      <c r="VIZ5" s="138"/>
      <c r="VJA5" s="138"/>
      <c r="VJB5" s="138"/>
      <c r="VJC5" s="138"/>
      <c r="VJD5" s="138"/>
      <c r="VJE5" s="138"/>
      <c r="VJF5" s="138"/>
      <c r="VJG5" s="138"/>
      <c r="VJH5" s="138"/>
      <c r="VJI5" s="138"/>
      <c r="VJJ5" s="138"/>
      <c r="VJK5" s="138"/>
      <c r="VJL5" s="138"/>
      <c r="VJM5" s="138"/>
      <c r="VJN5" s="138"/>
      <c r="VJO5" s="138"/>
      <c r="VJP5" s="138"/>
      <c r="VJQ5" s="138"/>
      <c r="VJR5" s="138"/>
      <c r="VJS5" s="138"/>
      <c r="VJT5" s="138"/>
      <c r="VJU5" s="138"/>
      <c r="VJV5" s="138"/>
      <c r="VJW5" s="138"/>
      <c r="VJX5" s="138"/>
      <c r="VJY5" s="138"/>
      <c r="VJZ5" s="138"/>
      <c r="VKA5" s="138"/>
      <c r="VKB5" s="138"/>
      <c r="VKC5" s="138"/>
      <c r="VKD5" s="138"/>
      <c r="VKE5" s="138"/>
      <c r="VKF5" s="138"/>
      <c r="VKG5" s="138"/>
      <c r="VKH5" s="138"/>
      <c r="VKI5" s="138"/>
      <c r="VKJ5" s="138"/>
      <c r="VKK5" s="138"/>
      <c r="VKL5" s="138"/>
      <c r="VKM5" s="138"/>
      <c r="VKN5" s="138"/>
      <c r="VKO5" s="138"/>
      <c r="VKP5" s="138"/>
      <c r="VKQ5" s="138"/>
      <c r="VKR5" s="138"/>
      <c r="VKS5" s="138"/>
      <c r="VKT5" s="138"/>
      <c r="VKU5" s="138"/>
      <c r="VKV5" s="138"/>
      <c r="VKW5" s="138"/>
      <c r="VKX5" s="138"/>
      <c r="VKY5" s="138"/>
      <c r="VKZ5" s="138"/>
      <c r="VLA5" s="138"/>
      <c r="VLB5" s="138"/>
      <c r="VLC5" s="138"/>
      <c r="VLD5" s="138"/>
      <c r="VLE5" s="138"/>
      <c r="VLF5" s="138"/>
      <c r="VLG5" s="138"/>
      <c r="VLH5" s="138"/>
      <c r="VLI5" s="138"/>
      <c r="VLJ5" s="138"/>
      <c r="VLK5" s="138"/>
      <c r="VLL5" s="138"/>
      <c r="VLM5" s="138"/>
      <c r="VLN5" s="138"/>
      <c r="VLO5" s="138"/>
      <c r="VLP5" s="138"/>
      <c r="VLQ5" s="138"/>
      <c r="VLR5" s="138"/>
      <c r="VLS5" s="138"/>
      <c r="VLT5" s="138"/>
      <c r="VLU5" s="138"/>
      <c r="VLV5" s="138"/>
      <c r="VLW5" s="138"/>
      <c r="VLX5" s="138"/>
      <c r="VLY5" s="138"/>
      <c r="VLZ5" s="138"/>
      <c r="VMA5" s="138"/>
      <c r="VMB5" s="138"/>
      <c r="VMC5" s="138"/>
      <c r="VMD5" s="138"/>
      <c r="VME5" s="138"/>
      <c r="VMF5" s="138"/>
      <c r="VMG5" s="138"/>
      <c r="VMH5" s="138"/>
      <c r="VMI5" s="138"/>
      <c r="VMJ5" s="138"/>
      <c r="VMK5" s="138"/>
      <c r="VML5" s="138"/>
      <c r="VMM5" s="138"/>
      <c r="VMN5" s="138"/>
      <c r="VMO5" s="138"/>
      <c r="VMP5" s="138"/>
      <c r="VMQ5" s="138"/>
      <c r="VMR5" s="138"/>
      <c r="VMS5" s="138"/>
      <c r="VMT5" s="138"/>
      <c r="VMU5" s="138"/>
      <c r="VMV5" s="138"/>
      <c r="VMW5" s="138"/>
      <c r="VMX5" s="138"/>
      <c r="VMY5" s="138"/>
      <c r="VMZ5" s="138"/>
      <c r="VNA5" s="138"/>
      <c r="VNB5" s="138"/>
      <c r="VNC5" s="138"/>
      <c r="VND5" s="138"/>
      <c r="VNE5" s="138"/>
      <c r="VNF5" s="138"/>
      <c r="VNG5" s="138"/>
      <c r="VNH5" s="138"/>
      <c r="VNI5" s="138"/>
      <c r="VNJ5" s="138"/>
      <c r="VNK5" s="138"/>
      <c r="VNL5" s="138"/>
      <c r="VNM5" s="138"/>
      <c r="VNN5" s="138"/>
      <c r="VNO5" s="138"/>
      <c r="VNP5" s="138"/>
      <c r="VNQ5" s="138"/>
      <c r="VNR5" s="138"/>
      <c r="VNS5" s="138"/>
      <c r="VNT5" s="138"/>
      <c r="VNU5" s="138"/>
      <c r="VNV5" s="138"/>
      <c r="VNW5" s="138"/>
      <c r="VNX5" s="138"/>
      <c r="VNY5" s="138"/>
      <c r="VNZ5" s="138"/>
      <c r="VOA5" s="138"/>
      <c r="VOB5" s="138"/>
      <c r="VOC5" s="138"/>
      <c r="VOD5" s="138"/>
      <c r="VOE5" s="138"/>
      <c r="VOF5" s="138"/>
      <c r="VOG5" s="138"/>
      <c r="VOH5" s="138"/>
      <c r="VOI5" s="138"/>
      <c r="VOJ5" s="138"/>
      <c r="VOK5" s="138"/>
      <c r="VOL5" s="138"/>
      <c r="VOM5" s="138"/>
      <c r="VON5" s="138"/>
      <c r="VOO5" s="138"/>
      <c r="VOP5" s="138"/>
      <c r="VOQ5" s="138"/>
      <c r="VOR5" s="138"/>
      <c r="VOS5" s="138"/>
      <c r="VOT5" s="138"/>
      <c r="VOU5" s="138"/>
      <c r="VOV5" s="138"/>
      <c r="VOW5" s="138"/>
      <c r="VOX5" s="138"/>
      <c r="VOY5" s="138"/>
      <c r="VOZ5" s="138"/>
      <c r="VPA5" s="138"/>
      <c r="VPB5" s="138"/>
      <c r="VPC5" s="138"/>
      <c r="VPD5" s="138"/>
      <c r="VPE5" s="138"/>
      <c r="VPF5" s="138"/>
      <c r="VPG5" s="138"/>
      <c r="VPH5" s="138"/>
      <c r="VPI5" s="138"/>
      <c r="VPJ5" s="138"/>
      <c r="VPK5" s="138"/>
      <c r="VPL5" s="138"/>
      <c r="VPM5" s="138"/>
      <c r="VPN5" s="138"/>
      <c r="VPO5" s="138"/>
      <c r="VPP5" s="138"/>
      <c r="VPQ5" s="138"/>
      <c r="VPR5" s="138"/>
      <c r="VPS5" s="138"/>
      <c r="VPT5" s="138"/>
      <c r="VPU5" s="138"/>
      <c r="VPV5" s="138"/>
      <c r="VPW5" s="138"/>
      <c r="VPX5" s="138"/>
      <c r="VPY5" s="138"/>
      <c r="VPZ5" s="138"/>
      <c r="VQA5" s="138"/>
      <c r="VQB5" s="138"/>
      <c r="VQC5" s="138"/>
      <c r="VQD5" s="138"/>
      <c r="VQE5" s="138"/>
      <c r="VQF5" s="138"/>
      <c r="VQG5" s="138"/>
      <c r="VQH5" s="138"/>
      <c r="VQI5" s="138"/>
      <c r="VQJ5" s="138"/>
      <c r="VQK5" s="138"/>
      <c r="VQL5" s="138"/>
      <c r="VQM5" s="138"/>
      <c r="VQN5" s="138"/>
      <c r="VQO5" s="138"/>
      <c r="VQP5" s="138"/>
      <c r="VQQ5" s="138"/>
      <c r="VQR5" s="138"/>
      <c r="VQS5" s="138"/>
      <c r="VQT5" s="138"/>
      <c r="VQU5" s="138"/>
      <c r="VQV5" s="138"/>
      <c r="VQW5" s="138"/>
      <c r="VQX5" s="138"/>
      <c r="VQY5" s="138"/>
      <c r="VQZ5" s="138"/>
      <c r="VRA5" s="138"/>
      <c r="VRB5" s="138"/>
      <c r="VRC5" s="138"/>
      <c r="VRD5" s="138"/>
      <c r="VRE5" s="138"/>
      <c r="VRF5" s="138"/>
      <c r="VRG5" s="138"/>
      <c r="VRH5" s="138"/>
      <c r="VRI5" s="138"/>
      <c r="VRJ5" s="138"/>
      <c r="VRK5" s="138"/>
      <c r="VRL5" s="138"/>
      <c r="VRM5" s="138"/>
      <c r="VRN5" s="138"/>
      <c r="VRO5" s="138"/>
      <c r="VRP5" s="138"/>
      <c r="VRQ5" s="138"/>
      <c r="VRR5" s="138"/>
      <c r="VRS5" s="138"/>
      <c r="VRT5" s="138"/>
      <c r="VRU5" s="138"/>
      <c r="VRV5" s="138"/>
      <c r="VRW5" s="138"/>
      <c r="VRX5" s="138"/>
      <c r="VRY5" s="138"/>
      <c r="VRZ5" s="138"/>
      <c r="VSA5" s="138"/>
      <c r="VSB5" s="138"/>
      <c r="VSC5" s="138"/>
      <c r="VSD5" s="138"/>
      <c r="VSE5" s="138"/>
      <c r="VSF5" s="138"/>
      <c r="VSG5" s="138"/>
      <c r="VSH5" s="138"/>
      <c r="VSI5" s="138"/>
      <c r="VSJ5" s="138"/>
      <c r="VSK5" s="138"/>
      <c r="VSL5" s="138"/>
      <c r="VSM5" s="138"/>
      <c r="VSN5" s="138"/>
      <c r="VSO5" s="138"/>
      <c r="VSP5" s="138"/>
      <c r="VSQ5" s="138"/>
      <c r="VSR5" s="138"/>
      <c r="VSS5" s="138"/>
      <c r="VST5" s="138"/>
      <c r="VSU5" s="138"/>
      <c r="VSV5" s="138"/>
      <c r="VSW5" s="138"/>
      <c r="VSX5" s="138"/>
      <c r="VSY5" s="138"/>
      <c r="VSZ5" s="138"/>
      <c r="VTA5" s="138"/>
      <c r="VTB5" s="138"/>
      <c r="VTC5" s="138"/>
      <c r="VTD5" s="138"/>
      <c r="VTE5" s="138"/>
      <c r="VTF5" s="138"/>
      <c r="VTG5" s="138"/>
      <c r="VTH5" s="138"/>
      <c r="VTI5" s="138"/>
      <c r="VTJ5" s="138"/>
      <c r="VTK5" s="138"/>
      <c r="VTL5" s="138"/>
      <c r="VTM5" s="138"/>
      <c r="VTN5" s="138"/>
      <c r="VTO5" s="138"/>
      <c r="VTP5" s="138"/>
      <c r="VTQ5" s="138"/>
      <c r="VTR5" s="138"/>
      <c r="VTS5" s="138"/>
      <c r="VTT5" s="138"/>
      <c r="VTU5" s="138"/>
      <c r="VTV5" s="138"/>
      <c r="VTW5" s="138"/>
      <c r="VTX5" s="138"/>
      <c r="VTY5" s="138"/>
      <c r="VTZ5" s="138"/>
      <c r="VUA5" s="138"/>
      <c r="VUB5" s="138"/>
      <c r="VUC5" s="138"/>
      <c r="VUD5" s="138"/>
      <c r="VUE5" s="138"/>
      <c r="VUF5" s="138"/>
      <c r="VUG5" s="138"/>
      <c r="VUH5" s="138"/>
      <c r="VUI5" s="138"/>
      <c r="VUJ5" s="138"/>
      <c r="VUK5" s="138"/>
      <c r="VUL5" s="138"/>
      <c r="VUM5" s="138"/>
      <c r="VUN5" s="138"/>
      <c r="VUO5" s="138"/>
      <c r="VUP5" s="138"/>
      <c r="VUQ5" s="138"/>
      <c r="VUR5" s="138"/>
      <c r="VUS5" s="138"/>
      <c r="VUT5" s="138"/>
      <c r="VUU5" s="138"/>
      <c r="VUV5" s="138"/>
      <c r="VUW5" s="138"/>
      <c r="VUX5" s="138"/>
      <c r="VUY5" s="138"/>
      <c r="VUZ5" s="138"/>
      <c r="VVA5" s="138"/>
      <c r="VVB5" s="138"/>
      <c r="VVC5" s="138"/>
      <c r="VVD5" s="138"/>
      <c r="VVE5" s="138"/>
      <c r="VVF5" s="138"/>
      <c r="VVG5" s="138"/>
      <c r="VVH5" s="138"/>
      <c r="VVI5" s="138"/>
      <c r="VVJ5" s="138"/>
      <c r="VVK5" s="138"/>
      <c r="VVL5" s="138"/>
      <c r="VVM5" s="138"/>
      <c r="VVN5" s="138"/>
      <c r="VVO5" s="138"/>
      <c r="VVP5" s="138"/>
      <c r="VVQ5" s="138"/>
      <c r="VVR5" s="138"/>
      <c r="VVS5" s="138"/>
      <c r="VVT5" s="138"/>
      <c r="VVU5" s="138"/>
      <c r="VVV5" s="138"/>
      <c r="VVW5" s="138"/>
      <c r="VVX5" s="138"/>
      <c r="VVY5" s="138"/>
      <c r="VVZ5" s="138"/>
      <c r="VWA5" s="138"/>
      <c r="VWB5" s="138"/>
      <c r="VWC5" s="138"/>
      <c r="VWD5" s="138"/>
      <c r="VWE5" s="138"/>
      <c r="VWF5" s="138"/>
      <c r="VWG5" s="138"/>
      <c r="VWH5" s="138"/>
      <c r="VWI5" s="138"/>
      <c r="VWJ5" s="138"/>
      <c r="VWK5" s="138"/>
      <c r="VWL5" s="138"/>
      <c r="VWM5" s="138"/>
      <c r="VWN5" s="138"/>
      <c r="VWO5" s="138"/>
      <c r="VWP5" s="138"/>
      <c r="VWQ5" s="138"/>
      <c r="VWR5" s="138"/>
      <c r="VWS5" s="138"/>
      <c r="VWT5" s="138"/>
      <c r="VWU5" s="138"/>
      <c r="VWV5" s="138"/>
      <c r="VWW5" s="138"/>
      <c r="VWX5" s="138"/>
      <c r="VWY5" s="138"/>
      <c r="VWZ5" s="138"/>
      <c r="VXA5" s="138"/>
      <c r="VXB5" s="138"/>
      <c r="VXC5" s="138"/>
      <c r="VXD5" s="138"/>
      <c r="VXE5" s="138"/>
      <c r="VXF5" s="138"/>
      <c r="VXG5" s="138"/>
      <c r="VXH5" s="138"/>
      <c r="VXI5" s="138"/>
      <c r="VXJ5" s="138"/>
      <c r="VXK5" s="138"/>
      <c r="VXL5" s="138"/>
      <c r="VXM5" s="138"/>
      <c r="VXN5" s="138"/>
      <c r="VXO5" s="138"/>
      <c r="VXP5" s="138"/>
      <c r="VXQ5" s="138"/>
      <c r="VXR5" s="138"/>
      <c r="VXS5" s="138"/>
      <c r="VXT5" s="138"/>
      <c r="VXU5" s="138"/>
      <c r="VXV5" s="138"/>
      <c r="VXW5" s="138"/>
      <c r="VXX5" s="138"/>
      <c r="VXY5" s="138"/>
      <c r="VXZ5" s="138"/>
      <c r="VYA5" s="138"/>
      <c r="VYB5" s="138"/>
      <c r="VYC5" s="138"/>
      <c r="VYD5" s="138"/>
      <c r="VYE5" s="138"/>
      <c r="VYF5" s="138"/>
      <c r="VYG5" s="138"/>
      <c r="VYH5" s="138"/>
      <c r="VYI5" s="138"/>
      <c r="VYJ5" s="138"/>
      <c r="VYK5" s="138"/>
      <c r="VYL5" s="138"/>
      <c r="VYM5" s="138"/>
      <c r="VYN5" s="138"/>
      <c r="VYO5" s="138"/>
      <c r="VYP5" s="138"/>
      <c r="VYQ5" s="138"/>
      <c r="VYR5" s="138"/>
      <c r="VYS5" s="138"/>
      <c r="VYT5" s="138"/>
      <c r="VYU5" s="138"/>
      <c r="VYV5" s="138"/>
      <c r="VYW5" s="138"/>
      <c r="VYX5" s="138"/>
      <c r="VYY5" s="138"/>
      <c r="VYZ5" s="138"/>
      <c r="VZA5" s="138"/>
      <c r="VZB5" s="138"/>
      <c r="VZC5" s="138"/>
      <c r="VZD5" s="138"/>
      <c r="VZE5" s="138"/>
      <c r="VZF5" s="138"/>
      <c r="VZG5" s="138"/>
      <c r="VZH5" s="138"/>
      <c r="VZI5" s="138"/>
      <c r="VZJ5" s="138"/>
      <c r="VZK5" s="138"/>
      <c r="VZL5" s="138"/>
      <c r="VZM5" s="138"/>
      <c r="VZN5" s="138"/>
      <c r="VZO5" s="138"/>
      <c r="VZP5" s="138"/>
      <c r="VZQ5" s="138"/>
      <c r="VZR5" s="138"/>
      <c r="VZS5" s="138"/>
      <c r="VZT5" s="138"/>
      <c r="VZU5" s="138"/>
      <c r="VZV5" s="138"/>
      <c r="VZW5" s="138"/>
      <c r="VZX5" s="138"/>
      <c r="VZY5" s="138"/>
      <c r="VZZ5" s="138"/>
      <c r="WAA5" s="138"/>
      <c r="WAB5" s="138"/>
      <c r="WAC5" s="138"/>
      <c r="WAD5" s="138"/>
      <c r="WAE5" s="138"/>
      <c r="WAF5" s="138"/>
      <c r="WAG5" s="138"/>
      <c r="WAH5" s="138"/>
      <c r="WAI5" s="138"/>
      <c r="WAJ5" s="138"/>
      <c r="WAK5" s="138"/>
      <c r="WAL5" s="138"/>
      <c r="WAM5" s="138"/>
      <c r="WAN5" s="138"/>
      <c r="WAO5" s="138"/>
      <c r="WAP5" s="138"/>
      <c r="WAQ5" s="138"/>
      <c r="WAR5" s="138"/>
      <c r="WAS5" s="138"/>
      <c r="WAT5" s="138"/>
      <c r="WAU5" s="138"/>
      <c r="WAV5" s="138"/>
      <c r="WAW5" s="138"/>
      <c r="WAX5" s="138"/>
      <c r="WAY5" s="138"/>
      <c r="WAZ5" s="138"/>
      <c r="WBA5" s="138"/>
      <c r="WBB5" s="138"/>
      <c r="WBC5" s="138"/>
      <c r="WBD5" s="138"/>
      <c r="WBE5" s="138"/>
      <c r="WBF5" s="138"/>
      <c r="WBG5" s="138"/>
      <c r="WBH5" s="138"/>
      <c r="WBI5" s="138"/>
      <c r="WBJ5" s="138"/>
      <c r="WBK5" s="138"/>
      <c r="WBL5" s="138"/>
      <c r="WBM5" s="138"/>
      <c r="WBN5" s="138"/>
      <c r="WBO5" s="138"/>
      <c r="WBP5" s="138"/>
      <c r="WBQ5" s="138"/>
      <c r="WBR5" s="138"/>
      <c r="WBS5" s="138"/>
      <c r="WBT5" s="138"/>
      <c r="WBU5" s="138"/>
      <c r="WBV5" s="138"/>
      <c r="WBW5" s="138"/>
      <c r="WBX5" s="138"/>
      <c r="WBY5" s="138"/>
      <c r="WBZ5" s="138"/>
      <c r="WCA5" s="138"/>
      <c r="WCB5" s="138"/>
      <c r="WCC5" s="138"/>
      <c r="WCD5" s="138"/>
      <c r="WCE5" s="138"/>
      <c r="WCF5" s="138"/>
      <c r="WCG5" s="138"/>
      <c r="WCH5" s="138"/>
      <c r="WCI5" s="138"/>
      <c r="WCJ5" s="138"/>
      <c r="WCK5" s="138"/>
      <c r="WCL5" s="138"/>
      <c r="WCM5" s="138"/>
      <c r="WCN5" s="138"/>
      <c r="WCO5" s="138"/>
      <c r="WCP5" s="138"/>
      <c r="WCQ5" s="138"/>
      <c r="WCR5" s="138"/>
      <c r="WCS5" s="138"/>
      <c r="WCT5" s="138"/>
      <c r="WCU5" s="138"/>
      <c r="WCV5" s="138"/>
      <c r="WCW5" s="138"/>
      <c r="WCX5" s="138"/>
      <c r="WCY5" s="138"/>
      <c r="WCZ5" s="138"/>
      <c r="WDA5" s="138"/>
      <c r="WDB5" s="138"/>
      <c r="WDC5" s="138"/>
      <c r="WDD5" s="138"/>
      <c r="WDE5" s="138"/>
      <c r="WDF5" s="138"/>
      <c r="WDG5" s="138"/>
      <c r="WDH5" s="138"/>
      <c r="WDI5" s="138"/>
      <c r="WDJ5" s="138"/>
      <c r="WDK5" s="138"/>
      <c r="WDL5" s="138"/>
      <c r="WDM5" s="138"/>
      <c r="WDN5" s="138"/>
      <c r="WDO5" s="138"/>
      <c r="WDP5" s="138"/>
      <c r="WDQ5" s="138"/>
      <c r="WDR5" s="138"/>
      <c r="WDS5" s="138"/>
      <c r="WDT5" s="138"/>
      <c r="WDU5" s="138"/>
      <c r="WDV5" s="138"/>
      <c r="WDW5" s="138"/>
      <c r="WDX5" s="138"/>
      <c r="WDY5" s="138"/>
      <c r="WDZ5" s="138"/>
      <c r="WEA5" s="138"/>
      <c r="WEB5" s="138"/>
      <c r="WEC5" s="138"/>
      <c r="WED5" s="138"/>
      <c r="WEE5" s="138"/>
      <c r="WEF5" s="138"/>
      <c r="WEG5" s="138"/>
      <c r="WEH5" s="138"/>
      <c r="WEI5" s="138"/>
      <c r="WEJ5" s="138"/>
      <c r="WEK5" s="138"/>
      <c r="WEL5" s="138"/>
      <c r="WEM5" s="138"/>
      <c r="WEN5" s="138"/>
      <c r="WEO5" s="138"/>
      <c r="WEP5" s="138"/>
      <c r="WEQ5" s="138"/>
      <c r="WER5" s="138"/>
      <c r="WES5" s="138"/>
      <c r="WET5" s="138"/>
      <c r="WEU5" s="138"/>
      <c r="WEV5" s="138"/>
      <c r="WEW5" s="138"/>
      <c r="WEX5" s="138"/>
      <c r="WEY5" s="138"/>
      <c r="WEZ5" s="138"/>
      <c r="WFA5" s="138"/>
      <c r="WFB5" s="138"/>
      <c r="WFC5" s="138"/>
      <c r="WFD5" s="138"/>
      <c r="WFE5" s="138"/>
      <c r="WFF5" s="138"/>
      <c r="WFG5" s="138"/>
      <c r="WFH5" s="138"/>
      <c r="WFI5" s="138"/>
      <c r="WFJ5" s="138"/>
      <c r="WFK5" s="138"/>
      <c r="WFL5" s="138"/>
      <c r="WFM5" s="138"/>
      <c r="WFN5" s="138"/>
      <c r="WFO5" s="138"/>
      <c r="WFP5" s="138"/>
      <c r="WFQ5" s="138"/>
      <c r="WFR5" s="138"/>
      <c r="WFS5" s="138"/>
      <c r="WFT5" s="138"/>
      <c r="WFU5" s="138"/>
      <c r="WFV5" s="138"/>
      <c r="WFW5" s="138"/>
      <c r="WFX5" s="138"/>
      <c r="WFY5" s="138"/>
      <c r="WFZ5" s="138"/>
      <c r="WGA5" s="138"/>
      <c r="WGB5" s="138"/>
      <c r="WGC5" s="138"/>
      <c r="WGD5" s="138"/>
      <c r="WGE5" s="138"/>
      <c r="WGF5" s="138"/>
      <c r="WGG5" s="138"/>
      <c r="WGH5" s="138"/>
      <c r="WGI5" s="138"/>
      <c r="WGJ5" s="138"/>
      <c r="WGK5" s="138"/>
      <c r="WGL5" s="138"/>
      <c r="WGM5" s="138"/>
      <c r="WGN5" s="138"/>
      <c r="WGO5" s="138"/>
      <c r="WGP5" s="138"/>
      <c r="WGQ5" s="138"/>
      <c r="WGR5" s="138"/>
      <c r="WGS5" s="138"/>
      <c r="WGT5" s="138"/>
      <c r="WGU5" s="138"/>
      <c r="WGV5" s="138"/>
      <c r="WGW5" s="138"/>
      <c r="WGX5" s="138"/>
      <c r="WGY5" s="138"/>
      <c r="WGZ5" s="138"/>
      <c r="WHA5" s="138"/>
      <c r="WHB5" s="138"/>
      <c r="WHC5" s="138"/>
      <c r="WHD5" s="138"/>
      <c r="WHE5" s="138"/>
      <c r="WHF5" s="138"/>
      <c r="WHG5" s="138"/>
      <c r="WHH5" s="138"/>
      <c r="WHI5" s="138"/>
      <c r="WHJ5" s="138"/>
      <c r="WHK5" s="138"/>
      <c r="WHL5" s="138"/>
      <c r="WHM5" s="138"/>
      <c r="WHN5" s="138"/>
      <c r="WHO5" s="138"/>
      <c r="WHP5" s="138"/>
      <c r="WHQ5" s="138"/>
      <c r="WHR5" s="138"/>
      <c r="WHS5" s="138"/>
      <c r="WHT5" s="138"/>
      <c r="WHU5" s="138"/>
      <c r="WHV5" s="138"/>
      <c r="WHW5" s="138"/>
      <c r="WHX5" s="138"/>
      <c r="WHY5" s="138"/>
      <c r="WHZ5" s="138"/>
      <c r="WIA5" s="138"/>
      <c r="WIB5" s="138"/>
      <c r="WIC5" s="138"/>
      <c r="WID5" s="138"/>
      <c r="WIE5" s="138"/>
      <c r="WIF5" s="138"/>
      <c r="WIG5" s="138"/>
      <c r="WIH5" s="138"/>
      <c r="WII5" s="138"/>
      <c r="WIJ5" s="138"/>
      <c r="WIK5" s="138"/>
      <c r="WIL5" s="138"/>
      <c r="WIM5" s="138"/>
      <c r="WIN5" s="138"/>
      <c r="WIO5" s="138"/>
      <c r="WIP5" s="138"/>
      <c r="WIQ5" s="138"/>
      <c r="WIR5" s="138"/>
      <c r="WIS5" s="138"/>
      <c r="WIT5" s="138"/>
      <c r="WIU5" s="138"/>
      <c r="WIV5" s="138"/>
      <c r="WIW5" s="138"/>
      <c r="WIX5" s="138"/>
      <c r="WIY5" s="138"/>
      <c r="WIZ5" s="138"/>
      <c r="WJA5" s="138"/>
      <c r="WJB5" s="138"/>
      <c r="WJC5" s="138"/>
      <c r="WJD5" s="138"/>
      <c r="WJE5" s="138"/>
      <c r="WJF5" s="138"/>
      <c r="WJG5" s="138"/>
      <c r="WJH5" s="138"/>
      <c r="WJI5" s="138"/>
      <c r="WJJ5" s="138"/>
      <c r="WJK5" s="138"/>
      <c r="WJL5" s="138"/>
      <c r="WJM5" s="138"/>
      <c r="WJN5" s="138"/>
      <c r="WJO5" s="138"/>
      <c r="WJP5" s="138"/>
      <c r="WJQ5" s="138"/>
      <c r="WJR5" s="138"/>
      <c r="WJS5" s="138"/>
      <c r="WJT5" s="138"/>
      <c r="WJU5" s="138"/>
      <c r="WJV5" s="138"/>
      <c r="WJW5" s="138"/>
      <c r="WJX5" s="138"/>
      <c r="WJY5" s="138"/>
      <c r="WJZ5" s="138"/>
      <c r="WKA5" s="138"/>
      <c r="WKB5" s="138"/>
      <c r="WKC5" s="138"/>
      <c r="WKD5" s="138"/>
      <c r="WKE5" s="138"/>
      <c r="WKF5" s="138"/>
      <c r="WKG5" s="138"/>
      <c r="WKH5" s="138"/>
      <c r="WKI5" s="138"/>
      <c r="WKJ5" s="138"/>
      <c r="WKK5" s="138"/>
      <c r="WKL5" s="138"/>
      <c r="WKM5" s="138"/>
      <c r="WKN5" s="138"/>
      <c r="WKO5" s="138"/>
      <c r="WKP5" s="138"/>
      <c r="WKQ5" s="138"/>
      <c r="WKR5" s="138"/>
      <c r="WKS5" s="138"/>
      <c r="WKT5" s="138"/>
      <c r="WKU5" s="138"/>
      <c r="WKV5" s="138"/>
      <c r="WKW5" s="138"/>
      <c r="WKX5" s="138"/>
      <c r="WKY5" s="138"/>
      <c r="WKZ5" s="138"/>
      <c r="WLA5" s="138"/>
      <c r="WLB5" s="138"/>
      <c r="WLC5" s="138"/>
      <c r="WLD5" s="138"/>
      <c r="WLE5" s="138"/>
      <c r="WLF5" s="138"/>
      <c r="WLG5" s="138"/>
      <c r="WLH5" s="138"/>
      <c r="WLI5" s="138"/>
      <c r="WLJ5" s="138"/>
      <c r="WLK5" s="138"/>
      <c r="WLL5" s="138"/>
      <c r="WLM5" s="138"/>
      <c r="WLN5" s="138"/>
      <c r="WLO5" s="138"/>
      <c r="WLP5" s="138"/>
      <c r="WLQ5" s="138"/>
      <c r="WLR5" s="138"/>
      <c r="WLS5" s="138"/>
      <c r="WLT5" s="138"/>
      <c r="WLU5" s="138"/>
      <c r="WLV5" s="138"/>
      <c r="WLW5" s="138"/>
      <c r="WLX5" s="138"/>
      <c r="WLY5" s="138"/>
      <c r="WLZ5" s="138"/>
      <c r="WMA5" s="138"/>
      <c r="WMB5" s="138"/>
      <c r="WMC5" s="138"/>
      <c r="WMD5" s="138"/>
      <c r="WME5" s="138"/>
      <c r="WMF5" s="138"/>
      <c r="WMG5" s="138"/>
      <c r="WMH5" s="138"/>
      <c r="WMI5" s="138"/>
      <c r="WMJ5" s="138"/>
      <c r="WMK5" s="138"/>
      <c r="WML5" s="138"/>
      <c r="WMM5" s="138"/>
      <c r="WMN5" s="138"/>
      <c r="WMO5" s="138"/>
      <c r="WMP5" s="138"/>
      <c r="WMQ5" s="138"/>
      <c r="WMR5" s="138"/>
      <c r="WMS5" s="138"/>
      <c r="WMT5" s="138"/>
      <c r="WMU5" s="138"/>
      <c r="WMV5" s="138"/>
      <c r="WMW5" s="138"/>
      <c r="WMX5" s="138"/>
      <c r="WMY5" s="138"/>
      <c r="WMZ5" s="138"/>
      <c r="WNA5" s="138"/>
      <c r="WNB5" s="138"/>
      <c r="WNC5" s="138"/>
      <c r="WND5" s="138"/>
      <c r="WNE5" s="138"/>
      <c r="WNF5" s="138"/>
      <c r="WNG5" s="138"/>
      <c r="WNH5" s="138"/>
      <c r="WNI5" s="138"/>
      <c r="WNJ5" s="138"/>
      <c r="WNK5" s="138"/>
      <c r="WNL5" s="138"/>
      <c r="WNM5" s="138"/>
      <c r="WNN5" s="138"/>
      <c r="WNO5" s="138"/>
      <c r="WNP5" s="138"/>
      <c r="WNQ5" s="138"/>
      <c r="WNR5" s="138"/>
      <c r="WNS5" s="138"/>
      <c r="WNT5" s="138"/>
      <c r="WNU5" s="138"/>
      <c r="WNV5" s="138"/>
      <c r="WNW5" s="138"/>
      <c r="WNX5" s="138"/>
      <c r="WNY5" s="138"/>
      <c r="WNZ5" s="138"/>
      <c r="WOA5" s="138"/>
      <c r="WOB5" s="138"/>
      <c r="WOC5" s="138"/>
      <c r="WOD5" s="138"/>
      <c r="WOE5" s="138"/>
      <c r="WOF5" s="138"/>
      <c r="WOG5" s="138"/>
      <c r="WOH5" s="138"/>
      <c r="WOI5" s="138"/>
      <c r="WOJ5" s="138"/>
      <c r="WOK5" s="138"/>
      <c r="WOL5" s="138"/>
      <c r="WOM5" s="138"/>
      <c r="WON5" s="138"/>
      <c r="WOO5" s="138"/>
      <c r="WOP5" s="138"/>
      <c r="WOQ5" s="138"/>
      <c r="WOR5" s="138"/>
      <c r="WOS5" s="138"/>
      <c r="WOT5" s="138"/>
      <c r="WOU5" s="138"/>
      <c r="WOV5" s="138"/>
      <c r="WOW5" s="138"/>
      <c r="WOX5" s="138"/>
      <c r="WOY5" s="138"/>
      <c r="WOZ5" s="138"/>
      <c r="WPA5" s="138"/>
      <c r="WPB5" s="138"/>
      <c r="WPC5" s="138"/>
      <c r="WPD5" s="138"/>
      <c r="WPE5" s="138"/>
      <c r="WPF5" s="138"/>
      <c r="WPG5" s="138"/>
      <c r="WPH5" s="138"/>
      <c r="WPI5" s="138"/>
      <c r="WPJ5" s="138"/>
      <c r="WPK5" s="138"/>
      <c r="WPL5" s="138"/>
      <c r="WPM5" s="138"/>
      <c r="WPN5" s="138"/>
      <c r="WPO5" s="138"/>
      <c r="WPP5" s="138"/>
      <c r="WPQ5" s="138"/>
      <c r="WPR5" s="138"/>
      <c r="WPS5" s="138"/>
      <c r="WPT5" s="138"/>
      <c r="WPU5" s="138"/>
      <c r="WPV5" s="138"/>
      <c r="WPW5" s="138"/>
      <c r="WPX5" s="138"/>
      <c r="WPY5" s="138"/>
      <c r="WPZ5" s="138"/>
      <c r="WQA5" s="138"/>
      <c r="WQB5" s="138"/>
      <c r="WQC5" s="138"/>
      <c r="WQD5" s="138"/>
      <c r="WQE5" s="138"/>
      <c r="WQF5" s="138"/>
      <c r="WQG5" s="138"/>
      <c r="WQH5" s="138"/>
      <c r="WQI5" s="138"/>
      <c r="WQJ5" s="138"/>
      <c r="WQK5" s="138"/>
      <c r="WQL5" s="138"/>
      <c r="WQM5" s="138"/>
      <c r="WQN5" s="138"/>
      <c r="WQO5" s="138"/>
      <c r="WQP5" s="138"/>
      <c r="WQQ5" s="138"/>
      <c r="WQR5" s="138"/>
      <c r="WQS5" s="138"/>
      <c r="WQT5" s="138"/>
      <c r="WQU5" s="138"/>
      <c r="WQV5" s="138"/>
      <c r="WQW5" s="138"/>
      <c r="WQX5" s="138"/>
      <c r="WQY5" s="138"/>
      <c r="WQZ5" s="138"/>
      <c r="WRA5" s="138"/>
      <c r="WRB5" s="138"/>
      <c r="WRC5" s="138"/>
      <c r="WRD5" s="138"/>
      <c r="WRE5" s="138"/>
      <c r="WRF5" s="138"/>
      <c r="WRG5" s="138"/>
      <c r="WRH5" s="138"/>
      <c r="WRI5" s="138"/>
      <c r="WRJ5" s="138"/>
      <c r="WRK5" s="138"/>
      <c r="WRL5" s="138"/>
      <c r="WRM5" s="138"/>
      <c r="WRN5" s="138"/>
      <c r="WRO5" s="138"/>
      <c r="WRP5" s="138"/>
      <c r="WRQ5" s="138"/>
      <c r="WRR5" s="138"/>
      <c r="WRS5" s="138"/>
      <c r="WRT5" s="138"/>
      <c r="WRU5" s="138"/>
      <c r="WRV5" s="138"/>
      <c r="WRW5" s="138"/>
      <c r="WRX5" s="138"/>
      <c r="WRY5" s="138"/>
      <c r="WRZ5" s="138"/>
      <c r="WSA5" s="138"/>
      <c r="WSB5" s="138"/>
      <c r="WSC5" s="138"/>
      <c r="WSD5" s="138"/>
      <c r="WSE5" s="138"/>
      <c r="WSF5" s="138"/>
      <c r="WSG5" s="138"/>
      <c r="WSH5" s="138"/>
      <c r="WSI5" s="138"/>
      <c r="WSJ5" s="138"/>
      <c r="WSK5" s="138"/>
      <c r="WSL5" s="138"/>
      <c r="WSM5" s="138"/>
      <c r="WSN5" s="138"/>
      <c r="WSO5" s="138"/>
      <c r="WSP5" s="138"/>
      <c r="WSQ5" s="138"/>
      <c r="WSR5" s="138"/>
      <c r="WSS5" s="138"/>
      <c r="WST5" s="138"/>
      <c r="WSU5" s="138"/>
      <c r="WSV5" s="138"/>
      <c r="WSW5" s="138"/>
      <c r="WSX5" s="138"/>
      <c r="WSY5" s="138"/>
      <c r="WSZ5" s="138"/>
      <c r="WTA5" s="138"/>
      <c r="WTB5" s="138"/>
      <c r="WTC5" s="138"/>
      <c r="WTD5" s="138"/>
      <c r="WTE5" s="138"/>
      <c r="WTF5" s="138"/>
      <c r="WTG5" s="138"/>
      <c r="WTH5" s="138"/>
      <c r="WTI5" s="138"/>
      <c r="WTJ5" s="138"/>
      <c r="WTK5" s="138"/>
      <c r="WTL5" s="138"/>
      <c r="WTM5" s="138"/>
      <c r="WTN5" s="138"/>
      <c r="WTO5" s="138"/>
      <c r="WTP5" s="138"/>
      <c r="WTQ5" s="138"/>
      <c r="WTR5" s="138"/>
      <c r="WTS5" s="138"/>
      <c r="WTT5" s="138"/>
      <c r="WTU5" s="138"/>
      <c r="WTV5" s="138"/>
      <c r="WTW5" s="138"/>
      <c r="WTX5" s="138"/>
      <c r="WTY5" s="138"/>
      <c r="WTZ5" s="138"/>
      <c r="WUA5" s="138"/>
      <c r="WUB5" s="138"/>
      <c r="WUC5" s="138"/>
      <c r="WUD5" s="138"/>
      <c r="WUE5" s="138"/>
      <c r="WUF5" s="138"/>
      <c r="WUG5" s="138"/>
      <c r="WUH5" s="138"/>
      <c r="WUI5" s="138"/>
      <c r="WUJ5" s="138"/>
      <c r="WUK5" s="138"/>
      <c r="WUL5" s="138"/>
      <c r="WUM5" s="138"/>
      <c r="WUN5" s="138"/>
      <c r="WUO5" s="138"/>
      <c r="WUP5" s="138"/>
      <c r="WUQ5" s="138"/>
      <c r="WUR5" s="138"/>
      <c r="WUS5" s="138"/>
      <c r="WUT5" s="138"/>
      <c r="WUU5" s="138"/>
      <c r="WUV5" s="138"/>
      <c r="WUW5" s="138"/>
      <c r="WUX5" s="138"/>
      <c r="WUY5" s="138"/>
      <c r="WUZ5" s="138"/>
      <c r="WVA5" s="138"/>
      <c r="WVB5" s="138"/>
      <c r="WVC5" s="138"/>
      <c r="WVD5" s="138"/>
      <c r="WVE5" s="138"/>
      <c r="WVF5" s="138"/>
      <c r="WVG5" s="138"/>
      <c r="WVH5" s="138"/>
      <c r="WVI5" s="138"/>
      <c r="WVJ5" s="138"/>
      <c r="WVK5" s="138"/>
      <c r="WVL5" s="138"/>
      <c r="WVM5" s="138"/>
      <c r="WVN5" s="138"/>
      <c r="WVO5" s="138"/>
      <c r="WVP5" s="138"/>
      <c r="WVQ5" s="138"/>
      <c r="WVR5" s="138"/>
      <c r="WVS5" s="138"/>
      <c r="WVT5" s="138"/>
      <c r="WVU5" s="138"/>
      <c r="WVV5" s="138"/>
      <c r="WVW5" s="138"/>
      <c r="WVX5" s="138"/>
      <c r="WVY5" s="138"/>
      <c r="WVZ5" s="138"/>
      <c r="WWA5" s="138"/>
      <c r="WWB5" s="138"/>
      <c r="WWC5" s="138"/>
      <c r="WWD5" s="138"/>
      <c r="WWE5" s="138"/>
      <c r="WWF5" s="138"/>
      <c r="WWG5" s="138"/>
      <c r="WWH5" s="138"/>
      <c r="WWI5" s="138"/>
      <c r="WWJ5" s="138"/>
      <c r="WWK5" s="138"/>
      <c r="WWL5" s="138"/>
      <c r="WWM5" s="138"/>
      <c r="WWN5" s="138"/>
      <c r="WWO5" s="138"/>
      <c r="WWP5" s="138"/>
      <c r="WWQ5" s="138"/>
      <c r="WWR5" s="138"/>
      <c r="WWS5" s="138"/>
      <c r="WWT5" s="138"/>
      <c r="WWU5" s="138"/>
      <c r="WWV5" s="138"/>
      <c r="WWW5" s="138"/>
      <c r="WWX5" s="138"/>
      <c r="WWY5" s="138"/>
      <c r="WWZ5" s="138"/>
      <c r="WXA5" s="138"/>
      <c r="WXB5" s="138"/>
      <c r="WXC5" s="138"/>
      <c r="WXD5" s="138"/>
      <c r="WXE5" s="138"/>
      <c r="WXF5" s="138"/>
      <c r="WXG5" s="138"/>
      <c r="WXH5" s="138"/>
      <c r="WXI5" s="138"/>
      <c r="WXJ5" s="138"/>
      <c r="WXK5" s="138"/>
      <c r="WXL5" s="138"/>
      <c r="WXM5" s="138"/>
      <c r="WXN5" s="138"/>
      <c r="WXO5" s="138"/>
      <c r="WXP5" s="138"/>
      <c r="WXQ5" s="138"/>
      <c r="WXR5" s="138"/>
      <c r="WXS5" s="138"/>
      <c r="WXT5" s="138"/>
      <c r="WXU5" s="138"/>
      <c r="WXV5" s="138"/>
      <c r="WXW5" s="138"/>
      <c r="WXX5" s="138"/>
      <c r="WXY5" s="138"/>
      <c r="WXZ5" s="138"/>
      <c r="WYA5" s="138"/>
      <c r="WYB5" s="138"/>
      <c r="WYC5" s="138"/>
      <c r="WYD5" s="138"/>
      <c r="WYE5" s="138"/>
      <c r="WYF5" s="138"/>
      <c r="WYG5" s="138"/>
      <c r="WYH5" s="138"/>
      <c r="WYI5" s="138"/>
      <c r="WYJ5" s="138"/>
      <c r="WYK5" s="138"/>
      <c r="WYL5" s="138"/>
      <c r="WYM5" s="138"/>
      <c r="WYN5" s="138"/>
      <c r="WYO5" s="138"/>
      <c r="WYP5" s="138"/>
      <c r="WYQ5" s="138"/>
      <c r="WYR5" s="138"/>
      <c r="WYS5" s="138"/>
      <c r="WYT5" s="138"/>
      <c r="WYU5" s="138"/>
      <c r="WYV5" s="138"/>
      <c r="WYW5" s="138"/>
      <c r="WYX5" s="138"/>
      <c r="WYY5" s="138"/>
      <c r="WYZ5" s="138"/>
      <c r="WZA5" s="138"/>
      <c r="WZB5" s="138"/>
      <c r="WZC5" s="138"/>
      <c r="WZD5" s="138"/>
      <c r="WZE5" s="138"/>
      <c r="WZF5" s="138"/>
      <c r="WZG5" s="138"/>
      <c r="WZH5" s="138"/>
      <c r="WZI5" s="138"/>
      <c r="WZJ5" s="138"/>
      <c r="WZK5" s="138"/>
      <c r="WZL5" s="138"/>
      <c r="WZM5" s="138"/>
      <c r="WZN5" s="138"/>
      <c r="WZO5" s="138"/>
      <c r="WZP5" s="138"/>
      <c r="WZQ5" s="138"/>
      <c r="WZR5" s="138"/>
      <c r="WZS5" s="138"/>
      <c r="WZT5" s="138"/>
      <c r="WZU5" s="138"/>
      <c r="WZV5" s="138"/>
      <c r="WZW5" s="138"/>
      <c r="WZX5" s="138"/>
      <c r="WZY5" s="138"/>
      <c r="WZZ5" s="138"/>
      <c r="XAA5" s="138"/>
      <c r="XAB5" s="138"/>
      <c r="XAC5" s="138"/>
      <c r="XAD5" s="138"/>
      <c r="XAE5" s="138"/>
      <c r="XAF5" s="138"/>
      <c r="XAG5" s="138"/>
      <c r="XAH5" s="138"/>
      <c r="XAI5" s="138"/>
      <c r="XAJ5" s="138"/>
      <c r="XAK5" s="138"/>
      <c r="XAL5" s="138"/>
      <c r="XAM5" s="138"/>
      <c r="XAN5" s="138"/>
      <c r="XAO5" s="138"/>
      <c r="XAP5" s="138"/>
      <c r="XAQ5" s="138"/>
      <c r="XAR5" s="138"/>
      <c r="XAS5" s="138"/>
      <c r="XAT5" s="138"/>
      <c r="XAU5" s="138"/>
      <c r="XAV5" s="138"/>
      <c r="XAW5" s="138"/>
      <c r="XAX5" s="138"/>
      <c r="XAY5" s="138"/>
      <c r="XAZ5" s="138"/>
      <c r="XBA5" s="138"/>
      <c r="XBB5" s="138"/>
      <c r="XBC5" s="138"/>
      <c r="XBD5" s="138"/>
      <c r="XBE5" s="138"/>
      <c r="XBF5" s="138"/>
      <c r="XBG5" s="138"/>
      <c r="XBH5" s="138"/>
      <c r="XBI5" s="138"/>
      <c r="XBJ5" s="138"/>
      <c r="XBK5" s="138"/>
      <c r="XBL5" s="138"/>
      <c r="XBM5" s="138"/>
      <c r="XBN5" s="138"/>
      <c r="XBO5" s="138"/>
      <c r="XBP5" s="138"/>
      <c r="XBQ5" s="138"/>
      <c r="XBR5" s="138"/>
      <c r="XBS5" s="138"/>
      <c r="XBT5" s="138"/>
      <c r="XBU5" s="138"/>
      <c r="XBV5" s="138"/>
      <c r="XBW5" s="138"/>
      <c r="XBX5" s="138"/>
      <c r="XBY5" s="138"/>
      <c r="XBZ5" s="138"/>
      <c r="XCA5" s="138"/>
      <c r="XCB5" s="138"/>
      <c r="XCC5" s="138"/>
      <c r="XCD5" s="138"/>
      <c r="XCE5" s="138"/>
      <c r="XCF5" s="138"/>
      <c r="XCG5" s="138"/>
      <c r="XCH5" s="138"/>
      <c r="XCI5" s="138"/>
      <c r="XCJ5" s="138"/>
      <c r="XCK5" s="138"/>
      <c r="XCL5" s="138"/>
      <c r="XCM5" s="138"/>
      <c r="XCN5" s="138"/>
      <c r="XCO5" s="138"/>
      <c r="XCP5" s="138"/>
      <c r="XCQ5" s="138"/>
      <c r="XCR5" s="138"/>
      <c r="XCS5" s="138"/>
      <c r="XCT5" s="138"/>
      <c r="XCU5" s="138"/>
      <c r="XCV5" s="138"/>
      <c r="XCW5" s="138"/>
      <c r="XCX5" s="138"/>
      <c r="XCY5" s="138"/>
      <c r="XCZ5" s="138"/>
      <c r="XDA5" s="138"/>
      <c r="XDB5" s="138"/>
      <c r="XDC5" s="138"/>
      <c r="XDD5" s="138"/>
      <c r="XDE5" s="138"/>
      <c r="XDF5" s="138"/>
      <c r="XDG5" s="138"/>
      <c r="XDH5" s="138"/>
      <c r="XDI5" s="138"/>
      <c r="XDJ5" s="138"/>
      <c r="XDK5" s="138"/>
      <c r="XDL5" s="138"/>
      <c r="XDM5" s="138"/>
      <c r="XDN5" s="138"/>
      <c r="XDO5" s="138"/>
      <c r="XDP5" s="138"/>
      <c r="XDQ5" s="138"/>
      <c r="XDR5" s="138"/>
      <c r="XDS5" s="138"/>
      <c r="XDT5" s="138"/>
      <c r="XDU5" s="138"/>
      <c r="XDV5" s="138"/>
      <c r="XDW5" s="138"/>
      <c r="XDX5" s="138"/>
      <c r="XDY5" s="138"/>
      <c r="XDZ5" s="138"/>
      <c r="XEA5" s="138"/>
      <c r="XEB5" s="138"/>
      <c r="XEC5" s="138"/>
      <c r="XED5" s="138"/>
      <c r="XEE5" s="138"/>
      <c r="XEF5" s="138"/>
      <c r="XEG5" s="138"/>
      <c r="XEH5" s="138"/>
      <c r="XEI5" s="138"/>
      <c r="XEJ5" s="138"/>
      <c r="XEK5" s="138"/>
      <c r="XEL5" s="138"/>
      <c r="XEM5" s="138"/>
      <c r="XEN5" s="138"/>
      <c r="XEO5" s="138"/>
      <c r="XEP5" s="138"/>
      <c r="XEQ5" s="138"/>
      <c r="XER5" s="138"/>
      <c r="XES5" s="138"/>
      <c r="XET5" s="138"/>
      <c r="XEU5" s="138"/>
      <c r="XEV5" s="138"/>
      <c r="XEW5" s="138"/>
      <c r="XEX5" s="138"/>
      <c r="XEY5" s="138"/>
      <c r="XEZ5" s="138"/>
      <c r="XFA5" s="138"/>
      <c r="XFB5" s="138"/>
      <c r="XFC5" s="138"/>
      <c r="XFD5" s="138"/>
    </row>
    <row r="6" spans="3:16384" hidden="1">
      <c r="C6" s="23"/>
      <c r="E6" s="24">
        <v>31</v>
      </c>
      <c r="F6" s="24">
        <v>28</v>
      </c>
      <c r="G6" s="24">
        <v>31</v>
      </c>
      <c r="H6" s="24">
        <v>30</v>
      </c>
      <c r="I6" s="24">
        <v>31</v>
      </c>
      <c r="J6" s="24">
        <v>30</v>
      </c>
      <c r="K6" s="24">
        <v>31</v>
      </c>
      <c r="L6" s="24">
        <v>31</v>
      </c>
      <c r="M6" s="24">
        <v>30</v>
      </c>
      <c r="N6" s="24">
        <v>31</v>
      </c>
      <c r="O6" s="24">
        <v>30</v>
      </c>
      <c r="P6" s="24">
        <v>31</v>
      </c>
      <c r="R6" s="24">
        <v>31</v>
      </c>
      <c r="S6" s="24">
        <v>28</v>
      </c>
      <c r="T6" s="24">
        <v>31</v>
      </c>
      <c r="U6" s="24">
        <v>30</v>
      </c>
      <c r="V6" s="24">
        <v>31</v>
      </c>
      <c r="W6" s="24">
        <v>30</v>
      </c>
      <c r="X6" s="24">
        <v>31</v>
      </c>
      <c r="Y6" s="24">
        <v>31</v>
      </c>
      <c r="Z6" s="24">
        <v>30</v>
      </c>
      <c r="AA6" s="24">
        <v>31</v>
      </c>
      <c r="AB6" s="24">
        <v>30</v>
      </c>
      <c r="AC6" s="24">
        <v>31</v>
      </c>
      <c r="AE6" s="24">
        <v>31</v>
      </c>
      <c r="AF6" s="24">
        <v>28</v>
      </c>
      <c r="AG6" s="24">
        <v>31</v>
      </c>
      <c r="AH6" s="24">
        <v>30</v>
      </c>
      <c r="AI6" s="24">
        <v>31</v>
      </c>
      <c r="AJ6" s="24">
        <v>30</v>
      </c>
      <c r="AK6" s="24">
        <v>31</v>
      </c>
      <c r="AL6" s="24">
        <v>31</v>
      </c>
      <c r="AM6" s="24">
        <v>30</v>
      </c>
      <c r="AN6" s="24">
        <v>31</v>
      </c>
      <c r="AO6" s="24">
        <v>30</v>
      </c>
      <c r="AP6" s="24">
        <v>31</v>
      </c>
      <c r="AQ6" s="59"/>
      <c r="AR6" s="24">
        <v>31</v>
      </c>
      <c r="AS6" s="24">
        <v>29</v>
      </c>
      <c r="AT6" s="24">
        <v>31</v>
      </c>
      <c r="AU6" s="24">
        <v>30</v>
      </c>
      <c r="AV6" s="24">
        <v>31</v>
      </c>
      <c r="AW6" s="24">
        <v>30</v>
      </c>
      <c r="AX6" s="24">
        <v>31</v>
      </c>
      <c r="AY6" s="24">
        <v>31</v>
      </c>
      <c r="AZ6" s="24">
        <v>30</v>
      </c>
      <c r="BA6" s="24">
        <v>31</v>
      </c>
      <c r="BB6" s="24">
        <v>30</v>
      </c>
      <c r="BC6" s="24">
        <v>31</v>
      </c>
      <c r="BD6" s="19"/>
      <c r="BE6" s="24">
        <v>31</v>
      </c>
      <c r="BF6" s="24">
        <v>28</v>
      </c>
      <c r="BG6" s="24">
        <v>31</v>
      </c>
      <c r="BH6" s="24">
        <v>30</v>
      </c>
      <c r="BI6" s="24">
        <v>31</v>
      </c>
      <c r="BJ6" s="24">
        <v>30</v>
      </c>
      <c r="BK6" s="24">
        <v>31</v>
      </c>
      <c r="BL6" s="24">
        <v>31</v>
      </c>
      <c r="BM6" s="24">
        <v>30</v>
      </c>
      <c r="BN6" s="24">
        <v>31</v>
      </c>
      <c r="BO6" s="24">
        <v>30</v>
      </c>
      <c r="BP6" s="24">
        <v>31</v>
      </c>
      <c r="BQ6" s="19"/>
      <c r="BR6" s="142"/>
      <c r="BS6" s="24">
        <v>31</v>
      </c>
      <c r="BT6" s="24">
        <v>28</v>
      </c>
      <c r="BU6" s="24">
        <v>31</v>
      </c>
      <c r="BV6" s="24">
        <v>30</v>
      </c>
      <c r="BW6" s="24">
        <v>31</v>
      </c>
      <c r="BX6" s="24">
        <v>30</v>
      </c>
      <c r="BY6" s="24">
        <v>31</v>
      </c>
      <c r="BZ6" s="24">
        <v>31</v>
      </c>
      <c r="CA6" s="24">
        <v>30</v>
      </c>
      <c r="CB6" s="24">
        <v>31</v>
      </c>
      <c r="CC6" s="24">
        <v>30</v>
      </c>
      <c r="CD6" s="24">
        <v>31</v>
      </c>
      <c r="CE6" s="19"/>
      <c r="CF6" s="142"/>
      <c r="CG6" s="24">
        <v>31</v>
      </c>
      <c r="CH6" s="24">
        <v>28</v>
      </c>
      <c r="CI6" s="24">
        <v>31</v>
      </c>
      <c r="CJ6" s="24">
        <v>30</v>
      </c>
      <c r="CK6" s="24">
        <v>31</v>
      </c>
      <c r="CL6" s="24">
        <v>30</v>
      </c>
      <c r="CM6" s="24">
        <v>31</v>
      </c>
      <c r="CN6" s="24">
        <v>31</v>
      </c>
      <c r="CO6" s="24">
        <v>30</v>
      </c>
      <c r="CP6" s="24">
        <v>31</v>
      </c>
      <c r="CQ6" s="24">
        <v>30</v>
      </c>
      <c r="CR6" s="24">
        <v>31</v>
      </c>
      <c r="CS6" s="19"/>
      <c r="CT6" s="142"/>
      <c r="CU6" s="24">
        <v>31</v>
      </c>
      <c r="CV6" s="24">
        <v>28</v>
      </c>
      <c r="CW6" s="24">
        <v>31</v>
      </c>
      <c r="CX6" s="24">
        <v>31</v>
      </c>
      <c r="CY6" s="24">
        <v>31</v>
      </c>
      <c r="CZ6" s="24">
        <v>30</v>
      </c>
      <c r="DA6" s="24">
        <v>31</v>
      </c>
      <c r="DB6" s="24"/>
      <c r="DC6" s="24"/>
      <c r="DD6" s="24"/>
      <c r="DE6" s="24">
        <v>30</v>
      </c>
      <c r="DK6" s="24">
        <v>31</v>
      </c>
      <c r="DL6" s="24">
        <v>31</v>
      </c>
      <c r="DM6" s="24"/>
      <c r="DN6" s="24"/>
      <c r="DO6" s="24"/>
      <c r="DP6" s="24"/>
      <c r="DQ6" s="24"/>
      <c r="DR6" s="24"/>
      <c r="DS6" s="24"/>
      <c r="DT6" s="24"/>
      <c r="DU6" s="24"/>
      <c r="DV6" s="24"/>
      <c r="DW6" s="24"/>
      <c r="DX6" s="24"/>
      <c r="DY6" s="24"/>
      <c r="DZ6" s="24"/>
      <c r="EA6" s="24"/>
      <c r="EB6" s="24"/>
      <c r="EC6" s="24"/>
    </row>
    <row r="7" spans="3:16384" ht="5.25" customHeight="1" thickBot="1">
      <c r="AQ7" s="19"/>
      <c r="BD7" s="19"/>
      <c r="BQ7" s="19"/>
      <c r="BR7" s="142"/>
      <c r="CE7" s="19"/>
      <c r="CF7" s="142"/>
      <c r="CS7" s="19"/>
      <c r="CT7" s="142"/>
    </row>
    <row r="8" spans="3:16384" ht="15.5" thickTop="1" thickBot="1">
      <c r="C8" s="10" t="s">
        <v>670</v>
      </c>
      <c r="D8" s="10"/>
      <c r="E8" s="55">
        <v>0</v>
      </c>
      <c r="F8" s="55">
        <v>0</v>
      </c>
      <c r="G8" s="55">
        <v>0</v>
      </c>
      <c r="H8" s="55">
        <v>0</v>
      </c>
      <c r="I8" s="55">
        <v>0</v>
      </c>
      <c r="J8" s="55">
        <v>0</v>
      </c>
      <c r="K8" s="55">
        <v>0</v>
      </c>
      <c r="L8" s="55">
        <v>0</v>
      </c>
      <c r="M8" s="55">
        <v>0</v>
      </c>
      <c r="N8" s="55">
        <v>0</v>
      </c>
      <c r="O8" s="55">
        <v>0</v>
      </c>
      <c r="P8" s="55">
        <v>0</v>
      </c>
      <c r="Q8" s="56">
        <f>SUMPRODUCT(E$6:P$6,E8:P8)/SUM(E$6:P$6)</f>
        <v>0</v>
      </c>
      <c r="R8" s="55">
        <v>0</v>
      </c>
      <c r="S8" s="55">
        <v>0</v>
      </c>
      <c r="T8" s="55">
        <v>0</v>
      </c>
      <c r="U8" s="55">
        <v>0</v>
      </c>
      <c r="V8" s="55">
        <v>0</v>
      </c>
      <c r="W8" s="55">
        <v>0</v>
      </c>
      <c r="X8" s="55">
        <v>0</v>
      </c>
      <c r="Y8" s="55">
        <v>0</v>
      </c>
      <c r="Z8" s="55">
        <v>0</v>
      </c>
      <c r="AA8" s="55">
        <v>0</v>
      </c>
      <c r="AB8" s="55">
        <v>0</v>
      </c>
      <c r="AC8" s="55">
        <v>0</v>
      </c>
      <c r="AD8" s="56">
        <f>SUMPRODUCT(R$6:AC$6,R8:AC8)/SUM(R$6:AC$6)</f>
        <v>0</v>
      </c>
      <c r="AE8" s="55">
        <v>0</v>
      </c>
      <c r="AF8" s="55">
        <v>0</v>
      </c>
      <c r="AG8" s="55">
        <v>0</v>
      </c>
      <c r="AH8" s="55">
        <v>0</v>
      </c>
      <c r="AI8" s="55">
        <v>0</v>
      </c>
      <c r="AJ8" s="55">
        <v>0</v>
      </c>
      <c r="AK8" s="55">
        <v>0</v>
      </c>
      <c r="AL8" s="55">
        <v>0</v>
      </c>
      <c r="AM8" s="55">
        <v>0</v>
      </c>
      <c r="AN8" s="55">
        <v>0</v>
      </c>
      <c r="AO8" s="55">
        <v>0</v>
      </c>
      <c r="AP8" s="55">
        <v>0</v>
      </c>
      <c r="AQ8" s="60">
        <f>SUMPRODUCT(AE$6:AP$6,AE8:AP8)/SUM(AE$6:AP$6)</f>
        <v>0</v>
      </c>
      <c r="AR8" s="56">
        <v>5519.74</v>
      </c>
      <c r="AS8" s="56">
        <v>5829.1</v>
      </c>
      <c r="AT8" s="56">
        <v>5958.93</v>
      </c>
      <c r="AU8" s="56">
        <v>5966.27</v>
      </c>
      <c r="AV8" s="56">
        <v>5603.19</v>
      </c>
      <c r="AW8" s="56">
        <v>5636.79</v>
      </c>
      <c r="AX8" s="56">
        <v>5851.15</v>
      </c>
      <c r="AY8" s="56">
        <v>5836.78</v>
      </c>
      <c r="AZ8" s="56">
        <v>5956.16</v>
      </c>
      <c r="BA8" s="56">
        <v>6036.69</v>
      </c>
      <c r="BB8" s="56">
        <v>6036.69</v>
      </c>
      <c r="BC8" s="56">
        <v>6537.67</v>
      </c>
      <c r="BD8" s="60">
        <f>SUMPRODUCT(AR$6:BC$6,AR8:BC8)/SUM(AR$6:BC$6)</f>
        <v>5897.7864754098355</v>
      </c>
      <c r="BE8" s="56">
        <v>6309.46</v>
      </c>
      <c r="BF8" s="56">
        <v>6358.56</v>
      </c>
      <c r="BG8" s="56">
        <v>6309.78</v>
      </c>
      <c r="BH8" s="56">
        <v>6222.66</v>
      </c>
      <c r="BI8" s="56">
        <v>6647.14</v>
      </c>
      <c r="BJ8" s="56">
        <v>6869.44</v>
      </c>
      <c r="BK8" s="56">
        <v>6595.16</v>
      </c>
      <c r="BL8" s="56">
        <v>6545.2</v>
      </c>
      <c r="BM8" s="56">
        <v>6761.16</v>
      </c>
      <c r="BN8" s="56">
        <v>6532.19</v>
      </c>
      <c r="BO8" s="56">
        <v>6370.86</v>
      </c>
      <c r="BP8" s="56">
        <v>7153.37</v>
      </c>
      <c r="BQ8" s="139">
        <f>SUMPRODUCT(BE$6:BP$6,BE8:BP8)/SUM(BE$6:BP$6)</f>
        <v>6557.8755616438357</v>
      </c>
      <c r="BR8" s="143"/>
      <c r="BS8" s="56">
        <v>7777.27</v>
      </c>
      <c r="BT8" s="56">
        <v>8288.2185132120358</v>
      </c>
      <c r="BU8" s="56">
        <v>8072.6882381260339</v>
      </c>
      <c r="BV8" s="56">
        <v>8065.2362280959251</v>
      </c>
      <c r="BW8" s="56">
        <v>7722.7348973113121</v>
      </c>
      <c r="BX8" s="56">
        <v>8388.4278993480712</v>
      </c>
      <c r="BY8" s="56">
        <v>8641.105331011835</v>
      </c>
      <c r="BZ8" s="56">
        <v>8369.7682602186469</v>
      </c>
      <c r="CA8" s="56">
        <v>8176.6504861617514</v>
      </c>
      <c r="CB8" s="56">
        <v>8842.3394444408004</v>
      </c>
      <c r="CC8" s="56">
        <v>9048.2364326858496</v>
      </c>
      <c r="CD8" s="56">
        <v>8852.7320640148228</v>
      </c>
      <c r="CE8" s="60">
        <f>SUMPRODUCT(BS$6:CD$6,BS8:CD8)/SUM(BS$6:CD$6)</f>
        <v>8353.6011919109933</v>
      </c>
      <c r="CF8" s="143"/>
      <c r="CG8" s="56">
        <v>8806.770992822816</v>
      </c>
      <c r="CH8" s="56">
        <v>8805.5084165315475</v>
      </c>
      <c r="CI8" s="56">
        <v>8759.056373309415</v>
      </c>
      <c r="CJ8" s="56">
        <v>8959</v>
      </c>
      <c r="CK8" s="56">
        <v>9125.4767145384958</v>
      </c>
      <c r="CL8" s="56">
        <v>9952.5406706311205</v>
      </c>
      <c r="CM8" s="56">
        <v>10770.973387771981</v>
      </c>
      <c r="CN8" s="56">
        <v>10055.698484892191</v>
      </c>
      <c r="CO8" s="56">
        <v>9592.9439096602619</v>
      </c>
      <c r="CP8" s="56">
        <v>9798.5517391394296</v>
      </c>
      <c r="CQ8" s="56">
        <v>9122.1819096958898</v>
      </c>
      <c r="CR8" s="56">
        <v>6306.3094039457519</v>
      </c>
      <c r="CS8" s="60">
        <f>SUMPRODUCT(CG$6:CR$6,CG8:CR8)/SUM(CG$6:CR$6)</f>
        <v>9171.6772064425313</v>
      </c>
      <c r="CT8" s="143"/>
      <c r="CU8" s="56">
        <v>9775.7530652537225</v>
      </c>
      <c r="CV8" s="56">
        <v>9239.4258235670932</v>
      </c>
      <c r="CW8" s="56">
        <v>9023.7531097258543</v>
      </c>
      <c r="CX8" s="56">
        <v>9144.3306795979115</v>
      </c>
      <c r="CY8" s="56">
        <v>8991.2416268100169</v>
      </c>
      <c r="CZ8" s="56">
        <v>8906.2786148148516</v>
      </c>
      <c r="DA8" s="56">
        <v>8623.9765800011501</v>
      </c>
      <c r="DB8" s="56">
        <v>8475.5595378538655</v>
      </c>
      <c r="DC8" s="56">
        <v>8642.3745057119231</v>
      </c>
      <c r="DD8" s="56">
        <v>8711.3721510419509</v>
      </c>
      <c r="DE8" s="56">
        <v>8408.5935954688885</v>
      </c>
      <c r="DF8" s="56">
        <v>8393.9103546236274</v>
      </c>
      <c r="DG8" s="56">
        <v>8860.254726600735</v>
      </c>
      <c r="DH8" s="56">
        <v>0</v>
      </c>
      <c r="DI8" s="56">
        <v>8504.6594803405987</v>
      </c>
      <c r="DJ8" s="56">
        <v>8546.148538927162</v>
      </c>
      <c r="DK8" s="56">
        <v>8734.5254841894784</v>
      </c>
      <c r="DL8" s="56">
        <v>9129.224902388336</v>
      </c>
      <c r="DM8" s="56">
        <v>8827.6527096630471</v>
      </c>
      <c r="DN8" s="56">
        <v>8699.5747712075263</v>
      </c>
      <c r="DO8" s="56">
        <v>8466.0405174449588</v>
      </c>
      <c r="DP8" s="56">
        <v>8229.0564721100509</v>
      </c>
      <c r="DQ8" s="56">
        <v>8275.0491169614452</v>
      </c>
      <c r="DR8" s="56">
        <v>7995.0142501947621</v>
      </c>
      <c r="DS8" s="56">
        <v>8050.5552180582763</v>
      </c>
      <c r="DT8" s="56">
        <v>7898.7400585106834</v>
      </c>
      <c r="DU8" s="56">
        <v>8444.5222945054502</v>
      </c>
      <c r="DV8" s="56">
        <v>7702</v>
      </c>
      <c r="DW8" s="56">
        <v>7484.4556184797157</v>
      </c>
      <c r="DX8" s="56">
        <v>7714.8661786412886</v>
      </c>
      <c r="DY8" s="56">
        <v>7453.6700245323773</v>
      </c>
      <c r="DZ8" s="56">
        <v>7662.1845627798775</v>
      </c>
      <c r="EA8" s="402">
        <v>7771.4744450680682</v>
      </c>
      <c r="EB8" s="402">
        <v>7626.6875700109531</v>
      </c>
      <c r="EC8" s="402">
        <v>7567.9219044506126</v>
      </c>
    </row>
    <row r="9" spans="3:16384" ht="15.5" thickTop="1" thickBot="1">
      <c r="C9" s="10" t="s">
        <v>671</v>
      </c>
      <c r="D9" s="10"/>
      <c r="E9" s="57">
        <v>0</v>
      </c>
      <c r="F9" s="57">
        <v>0</v>
      </c>
      <c r="G9" s="57">
        <v>0</v>
      </c>
      <c r="H9" s="57">
        <v>0</v>
      </c>
      <c r="I9" s="57">
        <v>0</v>
      </c>
      <c r="J9" s="57">
        <v>0</v>
      </c>
      <c r="K9" s="57">
        <v>0</v>
      </c>
      <c r="L9" s="57">
        <v>0</v>
      </c>
      <c r="M9" s="57">
        <v>0</v>
      </c>
      <c r="N9" s="57">
        <v>0</v>
      </c>
      <c r="O9" s="57">
        <v>0</v>
      </c>
      <c r="P9" s="57">
        <v>0</v>
      </c>
      <c r="Q9" s="57">
        <f>SUMPRODUCT(E$6:P$6,E9:P9)/SUM(E$6:P$6)</f>
        <v>0</v>
      </c>
      <c r="R9" s="57">
        <v>0</v>
      </c>
      <c r="S9" s="57">
        <v>0</v>
      </c>
      <c r="T9" s="57">
        <v>0</v>
      </c>
      <c r="U9" s="57">
        <v>0</v>
      </c>
      <c r="V9" s="57">
        <v>0</v>
      </c>
      <c r="W9" s="57">
        <v>0</v>
      </c>
      <c r="X9" s="57">
        <v>0</v>
      </c>
      <c r="Y9" s="57">
        <v>0</v>
      </c>
      <c r="Z9" s="57">
        <v>0</v>
      </c>
      <c r="AA9" s="57">
        <v>0</v>
      </c>
      <c r="AB9" s="57">
        <v>0</v>
      </c>
      <c r="AC9" s="57">
        <v>0</v>
      </c>
      <c r="AD9" s="57">
        <f>SUMPRODUCT(R$6:AC$6,R9:AC9)/SUM(R$6:AC$6)</f>
        <v>0</v>
      </c>
      <c r="AE9" s="57">
        <v>0</v>
      </c>
      <c r="AF9" s="57">
        <v>0</v>
      </c>
      <c r="AG9" s="57">
        <v>0</v>
      </c>
      <c r="AH9" s="57">
        <v>0</v>
      </c>
      <c r="AI9" s="57">
        <v>0</v>
      </c>
      <c r="AJ9" s="57">
        <v>0</v>
      </c>
      <c r="AK9" s="57">
        <v>0</v>
      </c>
      <c r="AL9" s="57">
        <v>0</v>
      </c>
      <c r="AM9" s="57">
        <v>0</v>
      </c>
      <c r="AN9" s="57">
        <v>0</v>
      </c>
      <c r="AO9" s="57">
        <v>0</v>
      </c>
      <c r="AP9" s="57">
        <v>0</v>
      </c>
      <c r="AQ9" s="61">
        <f>SUMPRODUCT(AE$6:AP$6,AE9:AP9)/SUM(AE$6:AP$6)</f>
        <v>0</v>
      </c>
      <c r="AR9" s="57">
        <v>1373.47</v>
      </c>
      <c r="AS9" s="57">
        <v>933.94</v>
      </c>
      <c r="AT9" s="57">
        <v>926.16</v>
      </c>
      <c r="AU9" s="57">
        <v>1030.25</v>
      </c>
      <c r="AV9" s="57">
        <v>978.86</v>
      </c>
      <c r="AW9" s="57">
        <v>895.36</v>
      </c>
      <c r="AX9" s="57">
        <v>1019.35</v>
      </c>
      <c r="AY9" s="57">
        <v>1182.23</v>
      </c>
      <c r="AZ9" s="57">
        <v>1217.26</v>
      </c>
      <c r="BA9" s="57">
        <v>1137.46</v>
      </c>
      <c r="BB9" s="57">
        <v>1220.46</v>
      </c>
      <c r="BC9" s="57">
        <v>1329.1</v>
      </c>
      <c r="BD9" s="61">
        <f>SUMPRODUCT(AR$6:BC$6,AR9:BC9)/SUM(AR$6:BC$6)</f>
        <v>1104.7259289617487</v>
      </c>
      <c r="BE9" s="57">
        <v>1459.44</v>
      </c>
      <c r="BF9" s="57">
        <v>1470.67</v>
      </c>
      <c r="BG9" s="57">
        <v>1556.69</v>
      </c>
      <c r="BH9" s="57">
        <v>1640.72</v>
      </c>
      <c r="BI9" s="57">
        <v>1755.7</v>
      </c>
      <c r="BJ9" s="57">
        <v>1956.46</v>
      </c>
      <c r="BK9" s="57">
        <v>1952.86</v>
      </c>
      <c r="BL9" s="57">
        <v>2062.8200000000002</v>
      </c>
      <c r="BM9" s="57">
        <v>2083.59</v>
      </c>
      <c r="BN9" s="57">
        <v>1893.97</v>
      </c>
      <c r="BO9" s="57">
        <v>2164.69</v>
      </c>
      <c r="BP9" s="57">
        <v>2396</v>
      </c>
      <c r="BQ9" s="61">
        <f>SUMPRODUCT(BE$6:BP$6,BE9:BP9)/SUM(BE$6:BP$6)</f>
        <v>1868.3409315068491</v>
      </c>
      <c r="BR9" s="143"/>
      <c r="BS9" s="57">
        <v>2895.29</v>
      </c>
      <c r="BT9" s="57">
        <v>3284.2706614465797</v>
      </c>
      <c r="BU9" s="57">
        <v>3294.7853801507863</v>
      </c>
      <c r="BV9" s="57">
        <v>3248.8684364516726</v>
      </c>
      <c r="BW9" s="57">
        <v>3342.8687621594054</v>
      </c>
      <c r="BX9" s="57">
        <v>3509.8201598243286</v>
      </c>
      <c r="BY9" s="57">
        <v>3439.8227031192669</v>
      </c>
      <c r="BZ9" s="57">
        <v>3646.6206837120531</v>
      </c>
      <c r="CA9" s="57">
        <v>3962.5541149315677</v>
      </c>
      <c r="CB9" s="57">
        <v>4052.3905922835006</v>
      </c>
      <c r="CC9" s="57">
        <v>4206.3501773217185</v>
      </c>
      <c r="CD9" s="57">
        <v>4395.6010450960139</v>
      </c>
      <c r="CE9" s="61">
        <f>SUMPRODUCT(BS$6:CD$6,BS9:CD9)/SUM(BS$6:CD$6)</f>
        <v>3607.8797790096837</v>
      </c>
      <c r="CF9" s="143"/>
      <c r="CG9" s="57">
        <v>4226.0904013412182</v>
      </c>
      <c r="CH9" s="57">
        <v>4047.0747991988251</v>
      </c>
      <c r="CI9" s="57">
        <v>4328.4242499523862</v>
      </c>
      <c r="CJ9" s="57">
        <v>4230.7313829136656</v>
      </c>
      <c r="CK9" s="57">
        <v>4197.3777647878533</v>
      </c>
      <c r="CL9" s="57">
        <v>4632.5009058796277</v>
      </c>
      <c r="CM9" s="57">
        <v>4993.8607068649617</v>
      </c>
      <c r="CN9" s="57">
        <v>5583.2944974571574</v>
      </c>
      <c r="CO9" s="57">
        <v>4877.8110650425688</v>
      </c>
      <c r="CP9" s="57">
        <v>4794.6739985546865</v>
      </c>
      <c r="CQ9" s="57">
        <v>4660.8161764706701</v>
      </c>
      <c r="CR9" s="57">
        <v>3591.3748879949226</v>
      </c>
      <c r="CS9" s="61">
        <f>SUMPRODUCT(CG$6:CR$6,CG9:CR9)/SUM(CG$6:CR$6)</f>
        <v>4516.5530739789374</v>
      </c>
      <c r="CT9" s="143"/>
      <c r="CU9" s="57">
        <v>4662.9840594503476</v>
      </c>
      <c r="CV9" s="57">
        <v>4683.2036392747159</v>
      </c>
      <c r="CW9" s="57">
        <v>4767.3894719187774</v>
      </c>
      <c r="CX9" s="57">
        <v>5141.12733194671</v>
      </c>
      <c r="CY9" s="57">
        <v>5146.6115321657317</v>
      </c>
      <c r="CZ9" s="57">
        <v>4642.1768479123157</v>
      </c>
      <c r="DA9" s="57">
        <v>4619.285103198843</v>
      </c>
      <c r="DB9" s="57">
        <v>4730.2943850868669</v>
      </c>
      <c r="DC9" s="57">
        <v>4900.0276460096702</v>
      </c>
      <c r="DD9" s="57">
        <v>5008.115869418587</v>
      </c>
      <c r="DE9" s="57">
        <v>4838.4124360968117</v>
      </c>
      <c r="DF9" s="57">
        <v>4619.7789781928941</v>
      </c>
      <c r="DG9" s="57">
        <v>4813.2608600555341</v>
      </c>
      <c r="DH9" s="57">
        <v>0</v>
      </c>
      <c r="DI9" s="57">
        <v>4748.6878950576156</v>
      </c>
      <c r="DJ9" s="57">
        <v>4771.8161816713591</v>
      </c>
      <c r="DK9" s="57">
        <v>4727.660480681925</v>
      </c>
      <c r="DL9" s="57">
        <v>4877.0598411047995</v>
      </c>
      <c r="DM9" s="57">
        <v>4772.9126054812104</v>
      </c>
      <c r="DN9" s="57">
        <v>4840.1087195554901</v>
      </c>
      <c r="DO9" s="57">
        <v>4635.9870882816886</v>
      </c>
      <c r="DP9" s="277">
        <v>4603.0448703352677</v>
      </c>
      <c r="DQ9" s="277">
        <v>4578.3619972861379</v>
      </c>
      <c r="DR9" s="277">
        <v>4541.5313031904907</v>
      </c>
      <c r="DS9" s="277">
        <v>4403.7695484323704</v>
      </c>
      <c r="DT9" s="277">
        <v>4299.5707863103307</v>
      </c>
      <c r="DU9" s="277">
        <v>4648.7701429798808</v>
      </c>
      <c r="DV9" s="277">
        <v>4427</v>
      </c>
      <c r="DW9" s="277">
        <v>4744.6526584120984</v>
      </c>
      <c r="DX9" s="277">
        <v>4986.5803458791816</v>
      </c>
      <c r="DY9" s="277">
        <v>4881.396203307032</v>
      </c>
      <c r="DZ9" s="277">
        <v>4720.0616566911121</v>
      </c>
      <c r="EA9" s="402">
        <v>4570.1673309492262</v>
      </c>
      <c r="EB9" s="402">
        <v>4323.5461472263114</v>
      </c>
      <c r="EC9" s="402">
        <v>4207.4041243534175</v>
      </c>
    </row>
    <row r="10" spans="3:16384" ht="15" thickBot="1">
      <c r="C10" s="28" t="s">
        <v>37</v>
      </c>
      <c r="D10" s="28"/>
      <c r="E10" s="42">
        <f>SUM(E8:E9)</f>
        <v>0</v>
      </c>
      <c r="F10" s="42">
        <f t="shared" ref="F10:P10" si="0">SUM(F8:F9)</f>
        <v>0</v>
      </c>
      <c r="G10" s="42">
        <f t="shared" si="0"/>
        <v>0</v>
      </c>
      <c r="H10" s="42">
        <f t="shared" si="0"/>
        <v>0</v>
      </c>
      <c r="I10" s="42">
        <f t="shared" si="0"/>
        <v>0</v>
      </c>
      <c r="J10" s="42">
        <f t="shared" si="0"/>
        <v>0</v>
      </c>
      <c r="K10" s="42">
        <f t="shared" si="0"/>
        <v>0</v>
      </c>
      <c r="L10" s="42">
        <f t="shared" si="0"/>
        <v>0</v>
      </c>
      <c r="M10" s="42">
        <f t="shared" si="0"/>
        <v>0</v>
      </c>
      <c r="N10" s="42">
        <f t="shared" si="0"/>
        <v>0</v>
      </c>
      <c r="O10" s="42">
        <f t="shared" si="0"/>
        <v>0</v>
      </c>
      <c r="P10" s="42">
        <f t="shared" si="0"/>
        <v>0</v>
      </c>
      <c r="Q10" s="58">
        <f>SUM(Q8:Q9)</f>
        <v>0</v>
      </c>
      <c r="R10" s="42">
        <f>SUM(R8:R9)</f>
        <v>0</v>
      </c>
      <c r="S10" s="42">
        <f t="shared" ref="S10:AC10" si="1">SUM(S8:S9)</f>
        <v>0</v>
      </c>
      <c r="T10" s="42">
        <f t="shared" si="1"/>
        <v>0</v>
      </c>
      <c r="U10" s="42">
        <f t="shared" si="1"/>
        <v>0</v>
      </c>
      <c r="V10" s="42">
        <f t="shared" si="1"/>
        <v>0</v>
      </c>
      <c r="W10" s="42">
        <f t="shared" si="1"/>
        <v>0</v>
      </c>
      <c r="X10" s="42">
        <f t="shared" si="1"/>
        <v>0</v>
      </c>
      <c r="Y10" s="42">
        <f t="shared" si="1"/>
        <v>0</v>
      </c>
      <c r="Z10" s="42">
        <f t="shared" si="1"/>
        <v>0</v>
      </c>
      <c r="AA10" s="42">
        <f t="shared" si="1"/>
        <v>0</v>
      </c>
      <c r="AB10" s="42">
        <f t="shared" si="1"/>
        <v>0</v>
      </c>
      <c r="AC10" s="42">
        <f t="shared" si="1"/>
        <v>0</v>
      </c>
      <c r="AD10" s="58">
        <f t="shared" ref="AD10:AR10" si="2">SUM(AD8:AD9)</f>
        <v>0</v>
      </c>
      <c r="AE10" s="58">
        <f t="shared" si="2"/>
        <v>0</v>
      </c>
      <c r="AF10" s="58">
        <f t="shared" si="2"/>
        <v>0</v>
      </c>
      <c r="AG10" s="58">
        <f t="shared" si="2"/>
        <v>0</v>
      </c>
      <c r="AH10" s="58">
        <f t="shared" si="2"/>
        <v>0</v>
      </c>
      <c r="AI10" s="58">
        <f t="shared" si="2"/>
        <v>0</v>
      </c>
      <c r="AJ10" s="58">
        <f t="shared" si="2"/>
        <v>0</v>
      </c>
      <c r="AK10" s="58">
        <f t="shared" si="2"/>
        <v>0</v>
      </c>
      <c r="AL10" s="58">
        <f t="shared" si="2"/>
        <v>0</v>
      </c>
      <c r="AM10" s="58">
        <f t="shared" si="2"/>
        <v>0</v>
      </c>
      <c r="AN10" s="58">
        <f t="shared" si="2"/>
        <v>0</v>
      </c>
      <c r="AO10" s="58">
        <f t="shared" si="2"/>
        <v>0</v>
      </c>
      <c r="AP10" s="58">
        <f t="shared" si="2"/>
        <v>0</v>
      </c>
      <c r="AQ10" s="62">
        <f t="shared" si="2"/>
        <v>0</v>
      </c>
      <c r="AR10" s="58">
        <f t="shared" si="2"/>
        <v>6893.21</v>
      </c>
      <c r="AS10" s="58">
        <f t="shared" ref="AS10:BC10" si="3">SUM(AS8:AS9)</f>
        <v>6763.0400000000009</v>
      </c>
      <c r="AT10" s="58">
        <f t="shared" si="3"/>
        <v>6885.09</v>
      </c>
      <c r="AU10" s="58">
        <f t="shared" si="3"/>
        <v>6996.52</v>
      </c>
      <c r="AV10" s="58">
        <f t="shared" si="3"/>
        <v>6582.0499999999993</v>
      </c>
      <c r="AW10" s="58">
        <f t="shared" si="3"/>
        <v>6532.15</v>
      </c>
      <c r="AX10" s="58">
        <f t="shared" si="3"/>
        <v>6870.5</v>
      </c>
      <c r="AY10" s="58">
        <f t="shared" si="3"/>
        <v>7019.01</v>
      </c>
      <c r="AZ10" s="58">
        <f t="shared" si="3"/>
        <v>7173.42</v>
      </c>
      <c r="BA10" s="58">
        <f t="shared" si="3"/>
        <v>7174.15</v>
      </c>
      <c r="BB10" s="58">
        <f t="shared" si="3"/>
        <v>7257.15</v>
      </c>
      <c r="BC10" s="58">
        <f t="shared" si="3"/>
        <v>7866.77</v>
      </c>
      <c r="BD10" s="62">
        <f>SUM(BD8:BD9)</f>
        <v>7002.5124043715841</v>
      </c>
      <c r="BE10" s="58">
        <f>SUM(BE8:BE9)</f>
        <v>7768.9</v>
      </c>
      <c r="BF10" s="58">
        <f t="shared" ref="BF10:BP10" si="4">SUM(BF8:BF9)</f>
        <v>7829.2300000000005</v>
      </c>
      <c r="BG10" s="58">
        <f t="shared" si="4"/>
        <v>7866.4699999999993</v>
      </c>
      <c r="BH10" s="58">
        <f t="shared" si="4"/>
        <v>7863.38</v>
      </c>
      <c r="BI10" s="58">
        <f t="shared" si="4"/>
        <v>8402.84</v>
      </c>
      <c r="BJ10" s="58">
        <f t="shared" si="4"/>
        <v>8825.9</v>
      </c>
      <c r="BK10" s="58">
        <f t="shared" si="4"/>
        <v>8548.02</v>
      </c>
      <c r="BL10" s="58">
        <f t="shared" si="4"/>
        <v>8608.02</v>
      </c>
      <c r="BM10" s="58">
        <f t="shared" si="4"/>
        <v>8844.75</v>
      </c>
      <c r="BN10" s="58">
        <f t="shared" si="4"/>
        <v>8426.16</v>
      </c>
      <c r="BO10" s="58">
        <f t="shared" si="4"/>
        <v>8535.5499999999993</v>
      </c>
      <c r="BP10" s="58">
        <f t="shared" si="4"/>
        <v>9549.369999999999</v>
      </c>
      <c r="BQ10" s="62">
        <f>SUM(BQ8:BQ9)</f>
        <v>8426.216493150685</v>
      </c>
      <c r="BR10" s="144"/>
      <c r="BS10" s="62">
        <f t="shared" ref="BS10:CD10" si="5">SUM(BS8:BS9)</f>
        <v>10672.560000000001</v>
      </c>
      <c r="BT10" s="62">
        <f t="shared" si="5"/>
        <v>11572.489174658615</v>
      </c>
      <c r="BU10" s="62">
        <f t="shared" si="5"/>
        <v>11367.473618276821</v>
      </c>
      <c r="BV10" s="62">
        <v>11314.104664547598</v>
      </c>
      <c r="BW10" s="62">
        <f t="shared" si="5"/>
        <v>11065.603659470718</v>
      </c>
      <c r="BX10" s="62">
        <f t="shared" si="5"/>
        <v>11898.2480591724</v>
      </c>
      <c r="BY10" s="62">
        <f t="shared" si="5"/>
        <v>12080.928034131102</v>
      </c>
      <c r="BZ10" s="62">
        <f t="shared" si="5"/>
        <v>12016.3889439307</v>
      </c>
      <c r="CA10" s="62">
        <f t="shared" si="5"/>
        <v>12139.204601093319</v>
      </c>
      <c r="CB10" s="62">
        <v>12894.730036724301</v>
      </c>
      <c r="CC10" s="62">
        <f t="shared" si="5"/>
        <v>13254.586610007569</v>
      </c>
      <c r="CD10" s="62">
        <f t="shared" si="5"/>
        <v>13248.333109110838</v>
      </c>
      <c r="CE10" s="62">
        <f>SUM(CE8:CE9)</f>
        <v>11961.480970920677</v>
      </c>
      <c r="CF10" s="144"/>
      <c r="CG10" s="62">
        <f>SUM(CG8:CG9)</f>
        <v>13032.861394164034</v>
      </c>
      <c r="CH10" s="62">
        <f>SUM(CH8:CH9)</f>
        <v>12852.583215730372</v>
      </c>
      <c r="CI10" s="62">
        <f>SUM(CI8:CI9)</f>
        <v>13087.480623261801</v>
      </c>
      <c r="CJ10" s="62">
        <f>SUM(CJ8:CJ9)</f>
        <v>13189.731382913666</v>
      </c>
      <c r="CK10" s="62">
        <f t="shared" ref="CK10:CP10" si="6">SUM(CK8:CK9)</f>
        <v>13322.85447932635</v>
      </c>
      <c r="CL10" s="62">
        <f t="shared" si="6"/>
        <v>14585.041576510748</v>
      </c>
      <c r="CM10" s="62">
        <f t="shared" si="6"/>
        <v>15764.834094636943</v>
      </c>
      <c r="CN10" s="62">
        <f t="shared" si="6"/>
        <v>15638.992982349348</v>
      </c>
      <c r="CO10" s="62">
        <f t="shared" si="6"/>
        <v>14470.754974702832</v>
      </c>
      <c r="CP10" s="62">
        <f t="shared" si="6"/>
        <v>14593.225737694116</v>
      </c>
      <c r="CQ10" s="62">
        <f>SUM(CQ8:CQ9)</f>
        <v>13782.998086166561</v>
      </c>
      <c r="CR10" s="62">
        <f>SUM(CR8:CR9)</f>
        <v>9897.6842919406736</v>
      </c>
      <c r="CS10" s="62">
        <f>SUM(CS8:CS9)</f>
        <v>13688.230280421469</v>
      </c>
      <c r="CT10" s="144"/>
      <c r="CU10" s="62">
        <f>SUM(CU8:CU9)</f>
        <v>14438.73712470407</v>
      </c>
      <c r="CV10" s="62">
        <f>SUM(CV8:CV9)</f>
        <v>13922.629462841809</v>
      </c>
      <c r="CW10" s="62">
        <f>SUM(CW8:CW9)</f>
        <v>13791.142581644632</v>
      </c>
      <c r="CX10" s="62">
        <f>SUM(CX8:CX9)</f>
        <v>14285.458011544622</v>
      </c>
      <c r="CY10" s="62">
        <f t="shared" ref="CY10:DB10" si="7">SUM(CY8:CY9)</f>
        <v>14137.853158975748</v>
      </c>
      <c r="CZ10" s="62">
        <f t="shared" si="7"/>
        <v>13548.455462727168</v>
      </c>
      <c r="DA10" s="62">
        <f t="shared" si="7"/>
        <v>13243.261683199993</v>
      </c>
      <c r="DB10" s="62">
        <f t="shared" si="7"/>
        <v>13205.853922940732</v>
      </c>
      <c r="DC10" s="62">
        <f t="shared" ref="DC10:DD10" si="8">SUM(DC8:DC9)</f>
        <v>13542.402151721593</v>
      </c>
      <c r="DD10" s="62">
        <f t="shared" si="8"/>
        <v>13719.488020460538</v>
      </c>
      <c r="DE10" s="62">
        <f>SUM(DE8:DE9)</f>
        <v>13247.006031565699</v>
      </c>
      <c r="DF10" s="62">
        <v>13013.689332816521</v>
      </c>
      <c r="DG10" s="62">
        <v>13673.515586656269</v>
      </c>
      <c r="DH10" s="62">
        <v>0</v>
      </c>
      <c r="DI10" s="62">
        <v>13253.347375398214</v>
      </c>
      <c r="DJ10" s="62">
        <v>13317.96472059852</v>
      </c>
      <c r="DK10" s="62">
        <f t="shared" ref="DK10:DR10" si="9">SUM(DK8:DK9)</f>
        <v>13462.185964871403</v>
      </c>
      <c r="DL10" s="62">
        <f t="shared" si="9"/>
        <v>14006.284743493135</v>
      </c>
      <c r="DM10" s="62">
        <f t="shared" si="9"/>
        <v>13600.565315144257</v>
      </c>
      <c r="DN10" s="62">
        <f t="shared" si="9"/>
        <v>13539.683490763016</v>
      </c>
      <c r="DO10" s="62">
        <f t="shared" si="9"/>
        <v>13102.027605726647</v>
      </c>
      <c r="DP10" s="62">
        <f t="shared" si="9"/>
        <v>12832.101342445319</v>
      </c>
      <c r="DQ10" s="62">
        <f t="shared" si="9"/>
        <v>12853.411114247583</v>
      </c>
      <c r="DR10" s="62">
        <f t="shared" si="9"/>
        <v>12536.545553385253</v>
      </c>
      <c r="DS10" s="62">
        <v>12454.324766490647</v>
      </c>
      <c r="DT10" s="62">
        <v>12198.310844821015</v>
      </c>
      <c r="DU10" s="62">
        <v>13093.292437485332</v>
      </c>
      <c r="DV10" s="62">
        <v>12128</v>
      </c>
      <c r="DW10" s="62">
        <v>12229.108276891813</v>
      </c>
      <c r="DX10" s="62">
        <f>DX9+DX8</f>
        <v>12701.44652452047</v>
      </c>
      <c r="DY10" s="62">
        <f>DY9+DY8</f>
        <v>12335.066227839408</v>
      </c>
      <c r="DZ10" s="62">
        <f>DZ9+DZ8</f>
        <v>12382.24621947099</v>
      </c>
      <c r="EA10" s="62">
        <f>EA9+EA8</f>
        <v>12341.641776017295</v>
      </c>
      <c r="EB10" s="62">
        <f>EB9+EB8</f>
        <v>11950.233717237264</v>
      </c>
      <c r="EC10" s="62">
        <v>11775.326028804029</v>
      </c>
    </row>
    <row r="11" spans="3:16384" ht="5.25" customHeight="1" thickBot="1">
      <c r="AE11" s="25"/>
      <c r="AF11" s="25"/>
      <c r="AG11" s="25"/>
      <c r="AH11" s="25"/>
      <c r="AI11" s="25"/>
      <c r="AJ11" s="25"/>
      <c r="AK11" s="25"/>
      <c r="AL11" s="25"/>
      <c r="AM11" s="25"/>
      <c r="AN11" s="25"/>
      <c r="AO11" s="25"/>
      <c r="AP11" s="25"/>
      <c r="AQ11" s="63"/>
      <c r="AR11" s="25"/>
      <c r="AS11" s="25"/>
      <c r="AT11" s="25"/>
      <c r="AU11" s="25"/>
      <c r="AV11" s="25"/>
      <c r="AW11" s="25"/>
      <c r="AX11" s="25"/>
      <c r="AY11" s="25"/>
      <c r="AZ11" s="25"/>
      <c r="BA11" s="25"/>
      <c r="BB11" s="25"/>
      <c r="BC11" s="25"/>
      <c r="BD11" s="63"/>
      <c r="BE11" s="25"/>
      <c r="BF11" s="25"/>
      <c r="BG11" s="25"/>
      <c r="BH11" s="25"/>
      <c r="BI11" s="25"/>
      <c r="BJ11" s="25"/>
      <c r="BK11" s="25"/>
      <c r="BL11" s="25"/>
      <c r="BM11" s="25"/>
      <c r="BN11" s="25"/>
      <c r="BO11" s="25"/>
      <c r="BQ11" s="19"/>
      <c r="BR11" s="142"/>
      <c r="BS11" s="25"/>
      <c r="BT11" s="25"/>
      <c r="BU11" s="25"/>
      <c r="BV11" s="25"/>
      <c r="BW11" s="25"/>
      <c r="BX11" s="25"/>
      <c r="BY11" s="25"/>
      <c r="BZ11" s="25"/>
      <c r="CA11" s="25"/>
      <c r="CB11" s="25"/>
      <c r="CC11" s="25"/>
      <c r="CE11" s="19"/>
      <c r="CF11" s="142"/>
      <c r="CG11" s="25"/>
      <c r="CH11" s="25"/>
      <c r="CI11" s="25"/>
      <c r="CJ11" s="25"/>
      <c r="CK11" s="25"/>
      <c r="CL11" s="25"/>
      <c r="CM11" s="25"/>
      <c r="CN11" s="25"/>
      <c r="CO11" s="25"/>
      <c r="CP11" s="25"/>
      <c r="CQ11" s="25"/>
      <c r="CS11" s="19"/>
      <c r="CT11" s="142"/>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row>
    <row r="12" spans="3:16384" ht="15.5" thickTop="1" thickBot="1">
      <c r="C12" s="10" t="s">
        <v>670</v>
      </c>
      <c r="D12" s="10"/>
      <c r="E12" s="56">
        <v>4500.8100000000004</v>
      </c>
      <c r="F12" s="56">
        <v>4356.1600000000008</v>
      </c>
      <c r="G12" s="56">
        <v>4218.9199999999992</v>
      </c>
      <c r="H12" s="56">
        <v>4188.6899999999996</v>
      </c>
      <c r="I12" s="56">
        <v>4179.38</v>
      </c>
      <c r="J12" s="56">
        <v>3972.7000000000012</v>
      </c>
      <c r="K12" s="56">
        <v>4089.48</v>
      </c>
      <c r="L12" s="56">
        <v>3981.5300000000007</v>
      </c>
      <c r="M12" s="56">
        <v>4013.3800000000006</v>
      </c>
      <c r="N12" s="56">
        <v>3971.76</v>
      </c>
      <c r="O12" s="56">
        <v>4008.3199999999997</v>
      </c>
      <c r="P12" s="56">
        <v>4030.0099999999998</v>
      </c>
      <c r="Q12" s="60">
        <f>SUMPRODUCT(E$6:P$6,E12:P12)/SUM(E$6:P$6)</f>
        <v>4124.9144383561652</v>
      </c>
      <c r="R12" s="70">
        <v>4017.4300000000007</v>
      </c>
      <c r="S12" s="70">
        <v>4127.9400000000005</v>
      </c>
      <c r="T12" s="70">
        <v>4105.37</v>
      </c>
      <c r="U12" s="70">
        <v>3938.4999999999991</v>
      </c>
      <c r="V12" s="70">
        <v>4158.4799999999996</v>
      </c>
      <c r="W12" s="70">
        <v>4318.46</v>
      </c>
      <c r="X12" s="70">
        <v>4268.54</v>
      </c>
      <c r="Y12" s="70">
        <v>4339.8</v>
      </c>
      <c r="Z12" s="70">
        <v>4212.46</v>
      </c>
      <c r="AA12" s="70">
        <v>4036.8900000000003</v>
      </c>
      <c r="AB12" s="70">
        <v>3919.1500000000005</v>
      </c>
      <c r="AC12" s="70">
        <v>4432.04</v>
      </c>
      <c r="AD12" s="60">
        <f>SUMPRODUCT(R$6:AC$6,R12:AC12)/SUM(R$6:AC$6)</f>
        <v>4157.1355342465758</v>
      </c>
      <c r="AE12" s="55">
        <v>4186.6899999999996</v>
      </c>
      <c r="AF12" s="55">
        <v>4119.3599999999997</v>
      </c>
      <c r="AG12" s="55">
        <v>4174.0599999999995</v>
      </c>
      <c r="AH12" s="55">
        <v>4121.8999999999996</v>
      </c>
      <c r="AI12" s="55">
        <v>3927.4899999999989</v>
      </c>
      <c r="AJ12" s="55">
        <v>3837.2400000000002</v>
      </c>
      <c r="AK12" s="55">
        <v>3836.6</v>
      </c>
      <c r="AL12" s="55">
        <v>3943.82</v>
      </c>
      <c r="AM12" s="55">
        <v>4117.1900000000005</v>
      </c>
      <c r="AN12" s="55">
        <v>3984.53</v>
      </c>
      <c r="AO12" s="55">
        <v>3837.1299999999997</v>
      </c>
      <c r="AP12" s="55">
        <v>3818.8900000000003</v>
      </c>
      <c r="AQ12" s="60">
        <f>SUMPRODUCT(AE$6:AP$6,AE12:AP12)/SUM(AE$6:AP$6)</f>
        <v>3991.1790684931502</v>
      </c>
      <c r="AR12" s="56">
        <v>4051.6600000000003</v>
      </c>
      <c r="AS12" s="56">
        <v>4540.79</v>
      </c>
      <c r="AT12" s="56">
        <v>4349.4500000000007</v>
      </c>
      <c r="AU12" s="56">
        <v>4010.5499999999993</v>
      </c>
      <c r="AV12" s="56">
        <v>3633.7199999999993</v>
      </c>
      <c r="AW12" s="56">
        <v>3336.36</v>
      </c>
      <c r="AX12" s="56">
        <v>3418.71</v>
      </c>
      <c r="AY12" s="56">
        <v>3246.6000000000004</v>
      </c>
      <c r="AZ12" s="56">
        <v>3384.2799999999997</v>
      </c>
      <c r="BA12" s="56">
        <v>3507.77</v>
      </c>
      <c r="BB12" s="56">
        <v>3381.5299999999997</v>
      </c>
      <c r="BC12" s="56">
        <v>3251.2599999999998</v>
      </c>
      <c r="BD12" s="60">
        <f>SUMPRODUCT(AR$6:BC$6,AR12:BC12)/SUM(AR$6:BC$6)</f>
        <v>3672.9474863387973</v>
      </c>
      <c r="BE12" s="56">
        <v>3280.5100000000007</v>
      </c>
      <c r="BF12" s="56">
        <v>3260.88</v>
      </c>
      <c r="BG12" s="56">
        <v>3217.73</v>
      </c>
      <c r="BH12" s="56">
        <v>3279.1699999999996</v>
      </c>
      <c r="BI12" s="56">
        <v>3116.26</v>
      </c>
      <c r="BJ12" s="56">
        <v>3004.2900000000004</v>
      </c>
      <c r="BK12" s="56">
        <v>2881.8300000000004</v>
      </c>
      <c r="BL12" s="56">
        <v>3072.5900000000006</v>
      </c>
      <c r="BM12" s="56">
        <v>3020.78</v>
      </c>
      <c r="BN12" s="56">
        <v>3135.59</v>
      </c>
      <c r="BO12" s="56">
        <v>3054.0800000000004</v>
      </c>
      <c r="BP12" s="56">
        <v>3293.28</v>
      </c>
      <c r="BQ12" s="139">
        <f>SUMPRODUCT(BE$6:BP$6,BE12:BP12)/SUM(BE$6:BP$6)</f>
        <v>3134.2074794520549</v>
      </c>
      <c r="BR12" s="143"/>
      <c r="BS12" s="56">
        <v>3273.692299820967</v>
      </c>
      <c r="BT12" s="56">
        <v>3162.17829891771</v>
      </c>
      <c r="BU12" s="56">
        <v>3232.9132518669162</v>
      </c>
      <c r="BV12" s="56">
        <v>3097.7551017601468</v>
      </c>
      <c r="BW12" s="56">
        <v>3115.2074207364062</v>
      </c>
      <c r="BX12" s="56">
        <v>2903.9831266682781</v>
      </c>
      <c r="BY12" s="56">
        <v>2903.3738831192504</v>
      </c>
      <c r="BZ12" s="56">
        <v>2905.128089180871</v>
      </c>
      <c r="CA12" s="56">
        <v>2926.6472579891838</v>
      </c>
      <c r="CB12" s="56">
        <v>2870.4219959279885</v>
      </c>
      <c r="CC12" s="56">
        <v>2771.0189646405393</v>
      </c>
      <c r="CD12" s="56">
        <v>2775.1781822442317</v>
      </c>
      <c r="CE12" s="60">
        <f>SUMPRODUCT(BS$6:CD$6,BS12:CD12)/SUM(BS$6:CD$6)</f>
        <v>2994.1821772910571</v>
      </c>
      <c r="CF12" s="143"/>
      <c r="CG12" s="56">
        <v>2741.2112662963764</v>
      </c>
      <c r="CH12" s="56">
        <v>2472.6167833921072</v>
      </c>
      <c r="CI12" s="56">
        <v>2728.7225133625302</v>
      </c>
      <c r="CJ12" s="56">
        <v>2700.680516388853</v>
      </c>
      <c r="CK12" s="56">
        <v>2483.5132722418098</v>
      </c>
      <c r="CL12" s="56">
        <v>2602.5238049497389</v>
      </c>
      <c r="CM12" s="56">
        <v>2489.5259187680417</v>
      </c>
      <c r="CN12" s="56">
        <v>2592.1947605088048</v>
      </c>
      <c r="CO12" s="56">
        <v>2374.8160258302578</v>
      </c>
      <c r="CP12" s="56">
        <v>2728.1582635769964</v>
      </c>
      <c r="CQ12" s="56">
        <v>2339.4369150146326</v>
      </c>
      <c r="CR12" s="56">
        <v>2513.5438997163719</v>
      </c>
      <c r="CS12" s="60">
        <f>SUMPRODUCT(CG$6:CR$6,CG12:CR12)/SUM(CG$6:CR$6)</f>
        <v>2565.3149439152944</v>
      </c>
      <c r="CT12" s="143"/>
      <c r="CU12" s="56">
        <v>2480.0173988851893</v>
      </c>
      <c r="CV12" s="56">
        <v>2481.5524431937984</v>
      </c>
      <c r="CW12" s="56">
        <v>2502.9325139618022</v>
      </c>
      <c r="CX12" s="56">
        <v>2388.7964217330446</v>
      </c>
      <c r="CY12" s="56">
        <v>2145.4410147273102</v>
      </c>
      <c r="CZ12" s="56">
        <v>2268.9021885099883</v>
      </c>
      <c r="DA12" s="56">
        <v>2175.3363947137245</v>
      </c>
      <c r="DB12" s="56">
        <v>2025.4806175865763</v>
      </c>
      <c r="DC12" s="56">
        <v>1996.3043858887895</v>
      </c>
      <c r="DD12" s="56">
        <v>2123.8579815994399</v>
      </c>
      <c r="DE12" s="56">
        <v>2186.3727343427913</v>
      </c>
      <c r="DF12" s="56">
        <v>2113.440483920223</v>
      </c>
      <c r="DG12" s="56">
        <v>2239.7212877980351</v>
      </c>
      <c r="DH12" s="56">
        <v>0</v>
      </c>
      <c r="DI12" s="56">
        <v>2087.6997029012555</v>
      </c>
      <c r="DJ12" s="56">
        <v>2096.4467161488192</v>
      </c>
      <c r="DK12" s="56">
        <v>2157.2726773805252</v>
      </c>
      <c r="DL12" s="56">
        <v>2133.4455933682398</v>
      </c>
      <c r="DM12" s="56">
        <v>2164.9372377556388</v>
      </c>
      <c r="DN12" s="56">
        <v>1959.7055772745607</v>
      </c>
      <c r="DO12" s="56">
        <v>2284.5550978202236</v>
      </c>
      <c r="DP12" s="56">
        <v>2272.0053153881295</v>
      </c>
      <c r="DQ12" s="56">
        <v>2170.633961726558</v>
      </c>
      <c r="DR12" s="56">
        <v>2074.2144028260268</v>
      </c>
      <c r="DS12" s="56">
        <v>2190.0909746016546</v>
      </c>
      <c r="DT12" s="56">
        <v>2179.9310934672267</v>
      </c>
      <c r="DU12" s="56">
        <v>2148.3722537397457</v>
      </c>
      <c r="DV12" s="56">
        <v>2031</v>
      </c>
      <c r="DW12" s="56">
        <v>2157.8091439593677</v>
      </c>
      <c r="DX12" s="56">
        <v>2149.9592703724911</v>
      </c>
      <c r="DY12" s="56">
        <v>2277.7114136699065</v>
      </c>
      <c r="DZ12" s="56">
        <v>2174.7508035697069</v>
      </c>
      <c r="EA12" s="402">
        <v>2080.3286995800991</v>
      </c>
      <c r="EB12" s="402">
        <v>2154.1807599520371</v>
      </c>
      <c r="EC12" s="402">
        <v>2288.0505949535041</v>
      </c>
    </row>
    <row r="13" spans="3:16384" ht="15.5" thickTop="1" thickBot="1">
      <c r="C13" s="10" t="s">
        <v>671</v>
      </c>
      <c r="D13" s="10"/>
      <c r="E13" s="57">
        <v>494.2600000000001</v>
      </c>
      <c r="F13" s="57">
        <v>448.7399999999999</v>
      </c>
      <c r="G13" s="57">
        <v>420.93999999999971</v>
      </c>
      <c r="H13" s="57">
        <v>429.35000000000014</v>
      </c>
      <c r="I13" s="57">
        <v>406.46999999999997</v>
      </c>
      <c r="J13" s="57">
        <v>402.18000000000006</v>
      </c>
      <c r="K13" s="57">
        <v>457.22999999999996</v>
      </c>
      <c r="L13" s="57">
        <v>429.06000000000023</v>
      </c>
      <c r="M13" s="57">
        <v>420.98999999999978</v>
      </c>
      <c r="N13" s="57">
        <v>404.19000000000011</v>
      </c>
      <c r="O13" s="57">
        <v>442.38999999999987</v>
      </c>
      <c r="P13" s="57">
        <v>475.35999999999996</v>
      </c>
      <c r="Q13" s="61">
        <f>SUMPRODUCT(E$6:P$6,E13:P13)/SUM(E$6:P$6)</f>
        <v>435.95843835616432</v>
      </c>
      <c r="R13" s="71">
        <v>477.63999999999982</v>
      </c>
      <c r="S13" s="71">
        <v>498.27000000000021</v>
      </c>
      <c r="T13" s="71">
        <v>500.16000000000008</v>
      </c>
      <c r="U13" s="71">
        <v>458.09</v>
      </c>
      <c r="V13" s="71">
        <v>554.04000000000008</v>
      </c>
      <c r="W13" s="71">
        <v>542.06999999999994</v>
      </c>
      <c r="X13" s="71">
        <v>499.08</v>
      </c>
      <c r="Y13" s="71">
        <v>506.87999999999994</v>
      </c>
      <c r="Z13" s="71">
        <v>473.33</v>
      </c>
      <c r="AA13" s="71">
        <v>412.53999999999996</v>
      </c>
      <c r="AB13" s="71">
        <v>450.25999999999993</v>
      </c>
      <c r="AC13" s="71">
        <v>493.15000000000003</v>
      </c>
      <c r="AD13" s="61">
        <f>SUMPRODUCT(R$6:AC$6,R13:AC13)/SUM(R$6:AC$6)</f>
        <v>488.80068493150679</v>
      </c>
      <c r="AE13" s="57">
        <v>468.01999999999981</v>
      </c>
      <c r="AF13" s="57">
        <v>475.34000000000015</v>
      </c>
      <c r="AG13" s="57">
        <v>495.92999999999995</v>
      </c>
      <c r="AH13" s="57">
        <v>491.40000000000015</v>
      </c>
      <c r="AI13" s="57">
        <v>497.05000000000007</v>
      </c>
      <c r="AJ13" s="57">
        <v>496.03000000000014</v>
      </c>
      <c r="AK13" s="57">
        <v>436.48999999999995</v>
      </c>
      <c r="AL13" s="57">
        <v>459.70000000000005</v>
      </c>
      <c r="AM13" s="57">
        <v>482.95999999999992</v>
      </c>
      <c r="AN13" s="57">
        <v>443.81000000000012</v>
      </c>
      <c r="AO13" s="57">
        <v>487.73000000000008</v>
      </c>
      <c r="AP13" s="57">
        <v>474.54999999999984</v>
      </c>
      <c r="AQ13" s="61">
        <f>SUMPRODUCT(AE$6:AP$6,AE13:AP13)/SUM(AE$6:AP$6)</f>
        <v>475.60320547945207</v>
      </c>
      <c r="AR13" s="57">
        <v>505.46</v>
      </c>
      <c r="AS13" s="57">
        <v>498.95</v>
      </c>
      <c r="AT13" s="57">
        <v>477.92999999999995</v>
      </c>
      <c r="AU13" s="57">
        <v>497.25000000000011</v>
      </c>
      <c r="AV13" s="57">
        <v>454.33999999999992</v>
      </c>
      <c r="AW13" s="57">
        <v>453.04</v>
      </c>
      <c r="AX13" s="57">
        <v>428.27</v>
      </c>
      <c r="AY13" s="57">
        <v>434.35000000000008</v>
      </c>
      <c r="AZ13" s="57">
        <v>469.62000000000018</v>
      </c>
      <c r="BA13" s="57">
        <v>538.59</v>
      </c>
      <c r="BB13" s="57">
        <v>469.53999999999991</v>
      </c>
      <c r="BC13" s="57">
        <v>422.40999999999991</v>
      </c>
      <c r="BD13" s="61">
        <f>SUMPRODUCT(AR$6:BC$6,AR13:BC13)/SUM(AR$6:BC$6)</f>
        <v>470.64180327868849</v>
      </c>
      <c r="BE13" s="57">
        <v>523.28999999999985</v>
      </c>
      <c r="BF13" s="57">
        <v>544.62999999999988</v>
      </c>
      <c r="BG13" s="57">
        <v>502.94000000000005</v>
      </c>
      <c r="BH13" s="57">
        <v>531.47</v>
      </c>
      <c r="BI13" s="57">
        <v>554.80999999999995</v>
      </c>
      <c r="BJ13" s="57">
        <v>597.15</v>
      </c>
      <c r="BK13" s="57">
        <v>611.56000000000017</v>
      </c>
      <c r="BL13" s="57">
        <v>586.32000000000005</v>
      </c>
      <c r="BM13" s="57">
        <v>568.85000000000014</v>
      </c>
      <c r="BN13" s="57">
        <v>590.30999999999995</v>
      </c>
      <c r="BO13" s="57">
        <v>689.86</v>
      </c>
      <c r="BP13" s="57">
        <v>736.05000000000007</v>
      </c>
      <c r="BQ13" s="61">
        <f>SUMPRODUCT(BE$6:BP$6,BE13:BP13)/SUM(BE$6:BP$6)</f>
        <v>586.6663561643835</v>
      </c>
      <c r="BR13" s="143"/>
      <c r="BS13" s="57">
        <v>746.41</v>
      </c>
      <c r="BT13" s="57">
        <v>699.21039497009781</v>
      </c>
      <c r="BU13" s="57">
        <v>687.21002952766503</v>
      </c>
      <c r="BV13" s="57">
        <v>614.23980375136773</v>
      </c>
      <c r="BW13" s="57">
        <v>642.43219321037304</v>
      </c>
      <c r="BX13" s="57">
        <v>698.07478604109929</v>
      </c>
      <c r="BY13" s="57">
        <v>657.00126672801673</v>
      </c>
      <c r="BZ13" s="57">
        <v>632.79453905261698</v>
      </c>
      <c r="CA13" s="57">
        <v>577.22386997811418</v>
      </c>
      <c r="CB13" s="57">
        <v>599.18296250134415</v>
      </c>
      <c r="CC13" s="57">
        <v>586.87032847499677</v>
      </c>
      <c r="CD13" s="57">
        <v>690.57407621473624</v>
      </c>
      <c r="CE13" s="61">
        <f>SUMPRODUCT(BS$6:CD$6,BS13:CD13)/SUM(BS$6:CD$6)</f>
        <v>652.58605970084216</v>
      </c>
      <c r="CF13" s="143"/>
      <c r="CG13" s="57">
        <v>622.77722858465108</v>
      </c>
      <c r="CH13" s="57">
        <v>596.73108950611663</v>
      </c>
      <c r="CI13" s="57">
        <v>612.38855004946038</v>
      </c>
      <c r="CJ13" s="57">
        <v>676.4528674258811</v>
      </c>
      <c r="CK13" s="57">
        <v>664.77308623357635</v>
      </c>
      <c r="CL13" s="57">
        <v>633.84014604911556</v>
      </c>
      <c r="CM13" s="57">
        <v>611.34629284223138</v>
      </c>
      <c r="CN13" s="57">
        <v>571.33364638035687</v>
      </c>
      <c r="CO13" s="57">
        <v>538.85702347626921</v>
      </c>
      <c r="CP13" s="57">
        <v>519.8321073435427</v>
      </c>
      <c r="CQ13" s="57">
        <v>556.62446672604642</v>
      </c>
      <c r="CR13" s="57">
        <v>625.54829154164725</v>
      </c>
      <c r="CS13" s="61">
        <f>SUMPRODUCT(CG$6:CR$6,CG13:CR13)/SUM(CG$6:CR$6)</f>
        <v>602.60186550337005</v>
      </c>
      <c r="CT13" s="143"/>
      <c r="CU13" s="57">
        <v>575.42197186706017</v>
      </c>
      <c r="CV13" s="57">
        <v>536.55851140647576</v>
      </c>
      <c r="CW13" s="57">
        <v>517.06726310496697</v>
      </c>
      <c r="CX13" s="57">
        <v>488.69872085507058</v>
      </c>
      <c r="CY13" s="57">
        <v>491.75584350676644</v>
      </c>
      <c r="CZ13" s="57">
        <v>492.68137885227117</v>
      </c>
      <c r="DA13" s="57">
        <v>456.59676981804301</v>
      </c>
      <c r="DB13" s="57">
        <v>484.44526624498724</v>
      </c>
      <c r="DC13" s="57">
        <v>483.00043375747543</v>
      </c>
      <c r="DD13" s="57">
        <v>456.30358717147783</v>
      </c>
      <c r="DE13" s="57">
        <v>450.03469292530855</v>
      </c>
      <c r="DF13" s="57">
        <v>418.75267264159856</v>
      </c>
      <c r="DG13" s="57">
        <v>487.44070553959966</v>
      </c>
      <c r="DH13" s="57">
        <v>0</v>
      </c>
      <c r="DI13" s="57">
        <v>435.74103457716444</v>
      </c>
      <c r="DJ13" s="57">
        <v>434.01528586879419</v>
      </c>
      <c r="DK13" s="57">
        <v>455.89982698693507</v>
      </c>
      <c r="DL13" s="57">
        <v>440.37240736734947</v>
      </c>
      <c r="DM13" s="57">
        <v>411.86541662938316</v>
      </c>
      <c r="DN13" s="57">
        <v>375.17640497518556</v>
      </c>
      <c r="DO13" s="57">
        <v>1241.7952303829404</v>
      </c>
      <c r="DP13" s="57">
        <v>1282.8783792757024</v>
      </c>
      <c r="DQ13" s="57">
        <v>1395.4036272438193</v>
      </c>
      <c r="DR13" s="57">
        <v>1384.7370326584703</v>
      </c>
      <c r="DS13" s="57">
        <v>1410.4898670517541</v>
      </c>
      <c r="DT13" s="57">
        <v>1605.3417333748091</v>
      </c>
      <c r="DU13" s="57">
        <v>910.03209718881396</v>
      </c>
      <c r="DV13" s="57">
        <v>1472</v>
      </c>
      <c r="DW13" s="57">
        <v>1517.025313919451</v>
      </c>
      <c r="DX13" s="57">
        <v>1416.3154704749436</v>
      </c>
      <c r="DY13" s="57">
        <v>1677.842734514137</v>
      </c>
      <c r="DZ13" s="57">
        <v>1653.7806458523619</v>
      </c>
      <c r="EA13" s="402">
        <v>1552.1799440132331</v>
      </c>
      <c r="EB13" s="402">
        <v>1528.6153997351973</v>
      </c>
      <c r="EC13" s="402">
        <v>1513.7842230131778</v>
      </c>
    </row>
    <row r="14" spans="3:16384" ht="15" thickBot="1">
      <c r="C14" s="28" t="s">
        <v>564</v>
      </c>
      <c r="D14" s="28"/>
      <c r="E14" s="58">
        <f t="shared" ref="E14:Q14" si="10">SUM(E12:E13)</f>
        <v>4995.0700000000006</v>
      </c>
      <c r="F14" s="58">
        <f t="shared" si="10"/>
        <v>4804.9000000000005</v>
      </c>
      <c r="G14" s="58">
        <f t="shared" si="10"/>
        <v>4639.8599999999988</v>
      </c>
      <c r="H14" s="58">
        <f t="shared" si="10"/>
        <v>4618.04</v>
      </c>
      <c r="I14" s="58">
        <f t="shared" si="10"/>
        <v>4585.8500000000004</v>
      </c>
      <c r="J14" s="58">
        <f t="shared" si="10"/>
        <v>4374.880000000001</v>
      </c>
      <c r="K14" s="58">
        <f t="shared" si="10"/>
        <v>4546.71</v>
      </c>
      <c r="L14" s="58">
        <f t="shared" si="10"/>
        <v>4410.5900000000011</v>
      </c>
      <c r="M14" s="58">
        <f t="shared" si="10"/>
        <v>4434.3700000000008</v>
      </c>
      <c r="N14" s="58">
        <f t="shared" si="10"/>
        <v>4375.9500000000007</v>
      </c>
      <c r="O14" s="58">
        <f t="shared" si="10"/>
        <v>4450.7099999999991</v>
      </c>
      <c r="P14" s="58">
        <f t="shared" si="10"/>
        <v>4505.37</v>
      </c>
      <c r="Q14" s="62">
        <f t="shared" si="10"/>
        <v>4560.8728767123293</v>
      </c>
      <c r="R14" s="72">
        <f t="shared" ref="R14:AD14" si="11">SUM(R12:R13)</f>
        <v>4495.0700000000006</v>
      </c>
      <c r="S14" s="72">
        <f t="shared" si="11"/>
        <v>4626.2100000000009</v>
      </c>
      <c r="T14" s="72">
        <f t="shared" si="11"/>
        <v>4605.53</v>
      </c>
      <c r="U14" s="72">
        <f t="shared" si="11"/>
        <v>4396.5899999999992</v>
      </c>
      <c r="V14" s="72">
        <f t="shared" si="11"/>
        <v>4712.5199999999995</v>
      </c>
      <c r="W14" s="72">
        <f t="shared" si="11"/>
        <v>4860.53</v>
      </c>
      <c r="X14" s="72">
        <f t="shared" si="11"/>
        <v>4767.62</v>
      </c>
      <c r="Y14" s="72">
        <f t="shared" si="11"/>
        <v>4846.68</v>
      </c>
      <c r="Z14" s="72">
        <f t="shared" si="11"/>
        <v>4685.79</v>
      </c>
      <c r="AA14" s="72">
        <f t="shared" si="11"/>
        <v>4449.43</v>
      </c>
      <c r="AB14" s="72">
        <f t="shared" si="11"/>
        <v>4369.4100000000008</v>
      </c>
      <c r="AC14" s="72">
        <f t="shared" si="11"/>
        <v>4925.1899999999996</v>
      </c>
      <c r="AD14" s="62">
        <f t="shared" si="11"/>
        <v>4645.9362191780829</v>
      </c>
      <c r="AE14" s="58">
        <f t="shared" ref="AE14:AP14" si="12">SUM(AE11:AE13)</f>
        <v>4654.7099999999991</v>
      </c>
      <c r="AF14" s="58">
        <f t="shared" si="12"/>
        <v>4594.7</v>
      </c>
      <c r="AG14" s="58">
        <f t="shared" si="12"/>
        <v>4669.99</v>
      </c>
      <c r="AH14" s="58">
        <f t="shared" si="12"/>
        <v>4613.3</v>
      </c>
      <c r="AI14" s="58">
        <f t="shared" si="12"/>
        <v>4424.5399999999991</v>
      </c>
      <c r="AJ14" s="58">
        <f t="shared" si="12"/>
        <v>4333.2700000000004</v>
      </c>
      <c r="AK14" s="58">
        <f t="shared" si="12"/>
        <v>4273.09</v>
      </c>
      <c r="AL14" s="58">
        <f t="shared" si="12"/>
        <v>4403.5200000000004</v>
      </c>
      <c r="AM14" s="58">
        <f t="shared" si="12"/>
        <v>4600.1500000000005</v>
      </c>
      <c r="AN14" s="58">
        <f t="shared" si="12"/>
        <v>4428.34</v>
      </c>
      <c r="AO14" s="58">
        <f t="shared" si="12"/>
        <v>4324.8599999999997</v>
      </c>
      <c r="AP14" s="58">
        <f t="shared" si="12"/>
        <v>4293.4400000000005</v>
      </c>
      <c r="AQ14" s="62">
        <f t="shared" ref="AQ14:BP14" si="13">SUM(AQ12:AQ13)</f>
        <v>4466.7822739726025</v>
      </c>
      <c r="AR14" s="58">
        <f t="shared" ref="AR14:BD14" si="14">SUM(AR12:AR13)</f>
        <v>4557.12</v>
      </c>
      <c r="AS14" s="58">
        <f t="shared" si="14"/>
        <v>5039.74</v>
      </c>
      <c r="AT14" s="58">
        <f t="shared" si="14"/>
        <v>4827.380000000001</v>
      </c>
      <c r="AU14" s="58">
        <f t="shared" si="14"/>
        <v>4507.7999999999993</v>
      </c>
      <c r="AV14" s="58">
        <f t="shared" si="14"/>
        <v>4088.0599999999995</v>
      </c>
      <c r="AW14" s="58">
        <f t="shared" si="14"/>
        <v>3789.4</v>
      </c>
      <c r="AX14" s="58">
        <f t="shared" si="14"/>
        <v>3846.98</v>
      </c>
      <c r="AY14" s="58">
        <f t="shared" si="14"/>
        <v>3680.9500000000003</v>
      </c>
      <c r="AZ14" s="58">
        <f t="shared" si="14"/>
        <v>3853.9</v>
      </c>
      <c r="BA14" s="58">
        <f t="shared" si="14"/>
        <v>4046.36</v>
      </c>
      <c r="BB14" s="58">
        <f t="shared" si="14"/>
        <v>3851.0699999999997</v>
      </c>
      <c r="BC14" s="58">
        <f t="shared" si="14"/>
        <v>3673.6699999999996</v>
      </c>
      <c r="BD14" s="62">
        <f t="shared" si="14"/>
        <v>4143.5892896174855</v>
      </c>
      <c r="BE14" s="58">
        <f t="shared" si="13"/>
        <v>3803.8000000000006</v>
      </c>
      <c r="BF14" s="58">
        <f t="shared" si="13"/>
        <v>3805.51</v>
      </c>
      <c r="BG14" s="58">
        <f t="shared" si="13"/>
        <v>3720.67</v>
      </c>
      <c r="BH14" s="58">
        <f t="shared" si="13"/>
        <v>3810.6399999999994</v>
      </c>
      <c r="BI14" s="58">
        <f t="shared" si="13"/>
        <v>3671.07</v>
      </c>
      <c r="BJ14" s="58">
        <f t="shared" si="13"/>
        <v>3601.4400000000005</v>
      </c>
      <c r="BK14" s="58">
        <f t="shared" si="13"/>
        <v>3493.3900000000003</v>
      </c>
      <c r="BL14" s="58">
        <f t="shared" si="13"/>
        <v>3658.9100000000008</v>
      </c>
      <c r="BM14" s="58">
        <f t="shared" si="13"/>
        <v>3589.63</v>
      </c>
      <c r="BN14" s="58">
        <f t="shared" si="13"/>
        <v>3725.9</v>
      </c>
      <c r="BO14" s="58">
        <f t="shared" si="13"/>
        <v>3743.9400000000005</v>
      </c>
      <c r="BP14" s="58">
        <f t="shared" si="13"/>
        <v>4029.3300000000004</v>
      </c>
      <c r="BQ14" s="62">
        <f>SUM(BQ12:BQ13)</f>
        <v>3720.8738356164386</v>
      </c>
      <c r="BR14" s="144"/>
      <c r="BS14" s="62">
        <f t="shared" ref="BS14:CD14" si="15">SUM(BS12:BS13)</f>
        <v>4020.1022998209669</v>
      </c>
      <c r="BT14" s="62">
        <f t="shared" si="15"/>
        <v>3861.3886938878077</v>
      </c>
      <c r="BU14" s="62">
        <f t="shared" si="15"/>
        <v>3920.1232813945812</v>
      </c>
      <c r="BV14" s="62">
        <v>3711.9949055115144</v>
      </c>
      <c r="BW14" s="62">
        <f t="shared" si="15"/>
        <v>3757.6396139467793</v>
      </c>
      <c r="BX14" s="62">
        <f t="shared" si="15"/>
        <v>3602.0579127093774</v>
      </c>
      <c r="BY14" s="62">
        <f t="shared" si="15"/>
        <v>3560.375149847267</v>
      </c>
      <c r="BZ14" s="62">
        <f t="shared" si="15"/>
        <v>3537.922628233488</v>
      </c>
      <c r="CA14" s="62">
        <f t="shared" si="15"/>
        <v>3503.871127967298</v>
      </c>
      <c r="CB14" s="62">
        <v>3469.6049584293328</v>
      </c>
      <c r="CC14" s="62">
        <f t="shared" si="15"/>
        <v>3357.889293115536</v>
      </c>
      <c r="CD14" s="62">
        <f t="shared" si="15"/>
        <v>3465.7522584589678</v>
      </c>
      <c r="CE14" s="62">
        <f>SUM(CE12:CE13)</f>
        <v>3646.7682369918994</v>
      </c>
      <c r="CF14" s="144"/>
      <c r="CG14" s="62">
        <f>SUM(CG12:CG13)</f>
        <v>3363.9884948810277</v>
      </c>
      <c r="CH14" s="62">
        <f>SUM(CH12:CH13)</f>
        <v>3069.3478728982236</v>
      </c>
      <c r="CI14" s="62">
        <f>SUM(CI12:CI13)</f>
        <v>3341.1110634119905</v>
      </c>
      <c r="CJ14" s="62">
        <f>SUM(CJ12:CJ13)</f>
        <v>3377.1333838147339</v>
      </c>
      <c r="CK14" s="62">
        <f t="shared" ref="CK14:CP14" si="16">SUM(CK12:CK13)</f>
        <v>3148.2863584753859</v>
      </c>
      <c r="CL14" s="62">
        <f t="shared" si="16"/>
        <v>3236.3639509988543</v>
      </c>
      <c r="CM14" s="62">
        <f t="shared" si="16"/>
        <v>3100.8722116102731</v>
      </c>
      <c r="CN14" s="62">
        <f t="shared" si="16"/>
        <v>3163.5284068891615</v>
      </c>
      <c r="CO14" s="62">
        <f t="shared" si="16"/>
        <v>2913.673049306527</v>
      </c>
      <c r="CP14" s="62">
        <f t="shared" si="16"/>
        <v>3247.9903709205391</v>
      </c>
      <c r="CQ14" s="62">
        <f>SUM(CQ12:CQ13)</f>
        <v>2896.0613817406793</v>
      </c>
      <c r="CR14" s="62">
        <f>SUM(CR12:CR13)</f>
        <v>3139.0921912580193</v>
      </c>
      <c r="CS14" s="62">
        <f>SUM(CS12:CS13)</f>
        <v>3167.9168094186643</v>
      </c>
      <c r="CT14" s="144"/>
      <c r="CU14" s="62">
        <f>SUM(CU12:CU13)</f>
        <v>3055.4393707522495</v>
      </c>
      <c r="CV14" s="62">
        <f>SUM(CV12:CV13)</f>
        <v>3018.110954600274</v>
      </c>
      <c r="CW14" s="62">
        <f>SUM(CW12:CW13)</f>
        <v>3019.9997770667692</v>
      </c>
      <c r="CX14" s="62">
        <f>SUM(CX12:CX13)</f>
        <v>2877.495142588115</v>
      </c>
      <c r="CY14" s="62">
        <f t="shared" ref="CY14:DD14" si="17">SUM(CY12:CY13)</f>
        <v>2637.1968582340764</v>
      </c>
      <c r="CZ14" s="62">
        <f t="shared" si="17"/>
        <v>2761.5835673622596</v>
      </c>
      <c r="DA14" s="62">
        <f t="shared" si="17"/>
        <v>2631.9331645317675</v>
      </c>
      <c r="DB14" s="62">
        <f t="shared" si="17"/>
        <v>2509.9258838315636</v>
      </c>
      <c r="DC14" s="62">
        <f t="shared" si="17"/>
        <v>2479.3048196462651</v>
      </c>
      <c r="DD14" s="62">
        <f t="shared" si="17"/>
        <v>2580.1615687709177</v>
      </c>
      <c r="DE14" s="62">
        <f>SUM(DE12:DE13)</f>
        <v>2636.4074272681</v>
      </c>
      <c r="DF14" s="62">
        <v>2532.1931565618215</v>
      </c>
      <c r="DG14" s="62">
        <v>2727.1619933376346</v>
      </c>
      <c r="DH14" s="62">
        <v>0</v>
      </c>
      <c r="DI14" s="62">
        <v>2523.44073747842</v>
      </c>
      <c r="DJ14" s="62">
        <v>2530.4620020176135</v>
      </c>
      <c r="DK14" s="62">
        <f t="shared" ref="DK14:DR14" si="18">SUM(DK12:DK13)</f>
        <v>2613.1725043674605</v>
      </c>
      <c r="DL14" s="62">
        <f t="shared" si="18"/>
        <v>2573.8180007355891</v>
      </c>
      <c r="DM14" s="62">
        <f t="shared" si="18"/>
        <v>2576.8026543850219</v>
      </c>
      <c r="DN14" s="62">
        <f t="shared" si="18"/>
        <v>2334.8819822497462</v>
      </c>
      <c r="DO14" s="62">
        <f t="shared" si="18"/>
        <v>3526.3503282031643</v>
      </c>
      <c r="DP14" s="62">
        <f t="shared" si="18"/>
        <v>3554.8836946638321</v>
      </c>
      <c r="DQ14" s="62">
        <f t="shared" si="18"/>
        <v>3566.0375889703773</v>
      </c>
      <c r="DR14" s="62">
        <f t="shared" si="18"/>
        <v>3458.9514354844969</v>
      </c>
      <c r="DS14" s="62">
        <v>3600.5808416534087</v>
      </c>
      <c r="DT14" s="62">
        <v>3785.272826842036</v>
      </c>
      <c r="DU14" s="62">
        <v>3058.4043509285598</v>
      </c>
      <c r="DV14" s="62">
        <v>3503</v>
      </c>
      <c r="DW14" s="62">
        <v>3674.8344578788187</v>
      </c>
      <c r="DX14" s="62">
        <f>DX13+DX12</f>
        <v>3566.2747408474347</v>
      </c>
      <c r="DY14" s="62">
        <f>DY13+DY12</f>
        <v>3955.5541481840437</v>
      </c>
      <c r="DZ14" s="62">
        <f>DZ13+DZ12</f>
        <v>3828.5314494220688</v>
      </c>
      <c r="EA14" s="62">
        <f>EA13+EA12</f>
        <v>3632.5086435933322</v>
      </c>
      <c r="EB14" s="62">
        <f>EB13+EB12</f>
        <v>3682.7961596872346</v>
      </c>
      <c r="EC14" s="62">
        <v>3801.8348179666818</v>
      </c>
    </row>
    <row r="15" spans="3:16384" ht="5.25" customHeight="1" thickBot="1">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63"/>
      <c r="AR15" s="25"/>
      <c r="AS15" s="25"/>
      <c r="AT15" s="25"/>
      <c r="AU15" s="25"/>
      <c r="AV15" s="25"/>
      <c r="AW15" s="25"/>
      <c r="AX15" s="25"/>
      <c r="AY15" s="25"/>
      <c r="AZ15" s="25"/>
      <c r="BA15" s="25"/>
      <c r="BB15" s="25"/>
      <c r="BC15" s="25"/>
      <c r="BD15" s="63"/>
      <c r="BE15" s="25"/>
      <c r="BF15" s="25"/>
      <c r="BG15" s="25"/>
      <c r="BH15" s="25"/>
      <c r="BI15" s="25"/>
      <c r="BJ15" s="25"/>
      <c r="BK15" s="25"/>
      <c r="BL15" s="25"/>
      <c r="BM15" s="25"/>
      <c r="BN15" s="25"/>
      <c r="BO15" s="25"/>
      <c r="BQ15" s="63"/>
      <c r="BR15" s="145"/>
      <c r="BS15" s="25"/>
      <c r="BT15" s="25"/>
      <c r="BU15" s="25"/>
      <c r="BV15" s="25"/>
      <c r="BW15" s="25"/>
      <c r="BX15" s="25"/>
      <c r="BY15" s="25"/>
      <c r="BZ15" s="25"/>
      <c r="CA15" s="25"/>
      <c r="CB15" s="25"/>
      <c r="CC15" s="25"/>
      <c r="CE15" s="63"/>
      <c r="CF15" s="145"/>
      <c r="CG15" s="25"/>
      <c r="CH15" s="25"/>
      <c r="CI15" s="25"/>
      <c r="CJ15" s="25"/>
      <c r="CK15" s="25"/>
      <c r="CL15" s="25"/>
      <c r="CM15" s="25"/>
      <c r="CN15" s="25"/>
      <c r="CO15" s="25"/>
      <c r="CP15" s="25"/>
      <c r="CQ15" s="25"/>
      <c r="CS15" s="63"/>
      <c r="CT15" s="14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c r="EC15" s="25"/>
    </row>
    <row r="16" spans="3:16384" ht="15.5" thickTop="1" thickBot="1">
      <c r="C16" s="10" t="s">
        <v>670</v>
      </c>
      <c r="D16" s="10"/>
      <c r="E16" s="55">
        <v>0</v>
      </c>
      <c r="F16" s="55">
        <v>0</v>
      </c>
      <c r="G16" s="55">
        <v>0</v>
      </c>
      <c r="H16" s="55">
        <v>0</v>
      </c>
      <c r="I16" s="55">
        <v>0</v>
      </c>
      <c r="J16" s="55">
        <v>0</v>
      </c>
      <c r="K16" s="55">
        <v>0</v>
      </c>
      <c r="L16" s="55">
        <v>0</v>
      </c>
      <c r="M16" s="55">
        <v>0</v>
      </c>
      <c r="N16" s="55">
        <v>0</v>
      </c>
      <c r="O16" s="55">
        <v>0</v>
      </c>
      <c r="P16" s="55">
        <v>0</v>
      </c>
      <c r="Q16" s="56">
        <f>SUMPRODUCT(E$6:P$6,E16:P16)/SUM(E$6:P$6)</f>
        <v>0</v>
      </c>
      <c r="R16" s="55">
        <v>0</v>
      </c>
      <c r="S16" s="55">
        <v>0</v>
      </c>
      <c r="T16" s="55">
        <v>0</v>
      </c>
      <c r="U16" s="55">
        <v>0</v>
      </c>
      <c r="V16" s="55">
        <v>0</v>
      </c>
      <c r="W16" s="55">
        <v>0</v>
      </c>
      <c r="X16" s="55">
        <v>0</v>
      </c>
      <c r="Y16" s="55">
        <v>0</v>
      </c>
      <c r="Z16" s="55">
        <v>0</v>
      </c>
      <c r="AA16" s="55">
        <v>0</v>
      </c>
      <c r="AB16" s="55">
        <v>0</v>
      </c>
      <c r="AC16" s="55">
        <v>0</v>
      </c>
      <c r="AD16" s="56">
        <f>SUMPRODUCT(R$6:AC$6,R16:AC16)/SUM(R$6:AC$6)</f>
        <v>0</v>
      </c>
      <c r="AE16" s="55">
        <v>0</v>
      </c>
      <c r="AF16" s="55">
        <v>0</v>
      </c>
      <c r="AG16" s="55">
        <v>0</v>
      </c>
      <c r="AH16" s="55">
        <v>0</v>
      </c>
      <c r="AI16" s="55">
        <v>0</v>
      </c>
      <c r="AJ16" s="55">
        <v>0</v>
      </c>
      <c r="AK16" s="55">
        <v>0</v>
      </c>
      <c r="AL16" s="55">
        <v>0</v>
      </c>
      <c r="AM16" s="55">
        <v>0</v>
      </c>
      <c r="AN16" s="55">
        <v>0</v>
      </c>
      <c r="AO16" s="55">
        <v>0</v>
      </c>
      <c r="AP16" s="55">
        <v>0</v>
      </c>
      <c r="AQ16" s="60">
        <f>SUMPRODUCT(AE$6:AP$6,AE16:AP16)/SUM(AE$6:AP$6)</f>
        <v>0</v>
      </c>
      <c r="AR16" s="56">
        <v>0</v>
      </c>
      <c r="AS16" s="56">
        <v>0</v>
      </c>
      <c r="AT16" s="56">
        <v>0</v>
      </c>
      <c r="AU16" s="56">
        <v>0</v>
      </c>
      <c r="AV16" s="56">
        <v>0</v>
      </c>
      <c r="AW16" s="56">
        <v>0</v>
      </c>
      <c r="AX16" s="56">
        <v>0</v>
      </c>
      <c r="AY16" s="56">
        <v>0</v>
      </c>
      <c r="AZ16" s="56">
        <v>0</v>
      </c>
      <c r="BA16" s="56">
        <v>0</v>
      </c>
      <c r="BB16" s="56">
        <v>0</v>
      </c>
      <c r="BC16" s="56">
        <v>0</v>
      </c>
      <c r="BD16" s="60">
        <f>SUMPRODUCT(AR$6:BC$6,AR16:BC16)/SUM(AR$6:BC$6)</f>
        <v>0</v>
      </c>
      <c r="BE16" s="56">
        <v>0</v>
      </c>
      <c r="BF16" s="56">
        <v>0</v>
      </c>
      <c r="BG16" s="56">
        <v>0</v>
      </c>
      <c r="BH16" s="56">
        <v>0</v>
      </c>
      <c r="BI16" s="56">
        <v>0</v>
      </c>
      <c r="BJ16" s="56">
        <v>0</v>
      </c>
      <c r="BK16" s="56">
        <v>0</v>
      </c>
      <c r="BL16" s="56">
        <v>0</v>
      </c>
      <c r="BM16" s="56">
        <v>0</v>
      </c>
      <c r="BN16" s="56">
        <v>0</v>
      </c>
      <c r="BO16" s="56">
        <v>0</v>
      </c>
      <c r="BP16" s="56">
        <v>818</v>
      </c>
      <c r="BQ16" s="139">
        <f>BP16*25/365</f>
        <v>56.027397260273972</v>
      </c>
      <c r="BR16" s="143"/>
      <c r="BS16" s="56">
        <v>1050.02</v>
      </c>
      <c r="BT16" s="56">
        <v>1101.4822572276096</v>
      </c>
      <c r="BU16" s="56">
        <v>1194.9754929081307</v>
      </c>
      <c r="BV16" s="56">
        <v>1333.6750862000251</v>
      </c>
      <c r="BW16" s="56">
        <v>1292.4238280692362</v>
      </c>
      <c r="BX16" s="56">
        <v>1429.3229495312378</v>
      </c>
      <c r="BY16" s="56">
        <v>1537.2979320052209</v>
      </c>
      <c r="BZ16" s="56">
        <v>1745.375315622581</v>
      </c>
      <c r="CA16" s="56">
        <v>1701.4407072635195</v>
      </c>
      <c r="CB16" s="56">
        <v>1688.7376562784398</v>
      </c>
      <c r="CC16" s="56">
        <v>1728.3752413156888</v>
      </c>
      <c r="CD16" s="56">
        <v>1618.9558180759677</v>
      </c>
      <c r="CE16" s="60">
        <f>SUMPRODUCT(BS$6:CD$6,BS16:CD16)/SUM(BS$6:CD$6)</f>
        <v>1453.6638083929699</v>
      </c>
      <c r="CF16" s="143"/>
      <c r="CG16" s="56">
        <v>1831.1851299475841</v>
      </c>
      <c r="CH16" s="56">
        <v>1851.8216303646409</v>
      </c>
      <c r="CI16" s="56">
        <v>1730.1750851869028</v>
      </c>
      <c r="CJ16" s="56">
        <v>1768.3529845018447</v>
      </c>
      <c r="CK16" s="56">
        <v>1688.2706619737385</v>
      </c>
      <c r="CL16" s="56">
        <v>1528.6659923908892</v>
      </c>
      <c r="CM16" s="56">
        <v>1981.2960652508523</v>
      </c>
      <c r="CN16" s="56">
        <v>1904.1727976390328</v>
      </c>
      <c r="CO16" s="56">
        <v>1958.7398030283746</v>
      </c>
      <c r="CP16" s="56">
        <v>1888.3240944756164</v>
      </c>
      <c r="CQ16" s="56">
        <v>1912.6350227128132</v>
      </c>
      <c r="CR16" s="56">
        <v>1801.4626283043067</v>
      </c>
      <c r="CS16" s="60">
        <f>SUMPRODUCT(CG$6:CR$6,CG16:CR16)/SUM(CG$6:CR$6)</f>
        <v>1820.4775344530044</v>
      </c>
      <c r="CT16" s="143"/>
      <c r="CU16" s="56">
        <v>1929.3491726436507</v>
      </c>
      <c r="CV16" s="56">
        <v>1819.0113930744897</v>
      </c>
      <c r="CW16" s="56">
        <v>1853.3055070127118</v>
      </c>
      <c r="CX16" s="56">
        <v>1725.6440302328538</v>
      </c>
      <c r="CY16" s="56">
        <v>1701.4945262642786</v>
      </c>
      <c r="CZ16" s="56">
        <v>1812.9348530907241</v>
      </c>
      <c r="DA16" s="56">
        <v>1772.1254538743333</v>
      </c>
      <c r="DB16" s="56">
        <v>1632.0167235386589</v>
      </c>
      <c r="DC16" s="56">
        <v>1598.6644144547649</v>
      </c>
      <c r="DD16" s="56">
        <v>1647.8240362107956</v>
      </c>
      <c r="DE16" s="56">
        <v>1672.7406791194805</v>
      </c>
      <c r="DF16" s="56">
        <v>1666.86540303486</v>
      </c>
      <c r="DG16" s="56">
        <v>1735.9105333498715</v>
      </c>
      <c r="DH16" s="56">
        <v>0</v>
      </c>
      <c r="DI16" s="56">
        <v>1466.9064017214698</v>
      </c>
      <c r="DJ16" s="56">
        <v>1452.568792062785</v>
      </c>
      <c r="DK16" s="56">
        <v>1600.5394030334235</v>
      </c>
      <c r="DL16" s="56">
        <v>1708.2717917801247</v>
      </c>
      <c r="DM16" s="56">
        <v>1736.6293641972013</v>
      </c>
      <c r="DN16" s="56">
        <v>1884.2456045734823</v>
      </c>
      <c r="DO16" s="56">
        <v>1964.5298443090858</v>
      </c>
      <c r="DP16" s="56">
        <v>1959.3182135034713</v>
      </c>
      <c r="DQ16" s="56">
        <v>1920.3396228707606</v>
      </c>
      <c r="DR16" s="56">
        <v>1931.4318447754572</v>
      </c>
      <c r="DS16" s="56">
        <v>1795.0178148665218</v>
      </c>
      <c r="DT16" s="56">
        <v>1802.3421417519276</v>
      </c>
      <c r="DU16" s="56">
        <v>1770.4679035959941</v>
      </c>
      <c r="DV16" s="56">
        <v>1771</v>
      </c>
      <c r="DW16" s="56">
        <v>1749.2187047203386</v>
      </c>
      <c r="DX16" s="56">
        <v>1799.0944153079374</v>
      </c>
      <c r="DY16" s="56">
        <v>1818.8764081342413</v>
      </c>
      <c r="DZ16" s="56">
        <v>1773.521200079711</v>
      </c>
      <c r="EA16" s="402">
        <v>1676.0247576027484</v>
      </c>
      <c r="EB16" s="402">
        <v>1669.0673751419988</v>
      </c>
      <c r="EC16" s="402">
        <v>1730.3199011827405</v>
      </c>
    </row>
    <row r="17" spans="3:133" ht="15.5" thickTop="1" thickBot="1">
      <c r="C17" s="10" t="s">
        <v>671</v>
      </c>
      <c r="D17" s="10"/>
      <c r="E17" s="57">
        <v>0</v>
      </c>
      <c r="F17" s="57">
        <v>0</v>
      </c>
      <c r="G17" s="57">
        <v>0</v>
      </c>
      <c r="H17" s="57">
        <v>0</v>
      </c>
      <c r="I17" s="57">
        <v>0</v>
      </c>
      <c r="J17" s="57">
        <v>0</v>
      </c>
      <c r="K17" s="57">
        <v>0</v>
      </c>
      <c r="L17" s="57">
        <v>0</v>
      </c>
      <c r="M17" s="57">
        <v>0</v>
      </c>
      <c r="N17" s="57">
        <v>0</v>
      </c>
      <c r="O17" s="57">
        <v>0</v>
      </c>
      <c r="P17" s="57">
        <v>0</v>
      </c>
      <c r="Q17" s="57">
        <f>SUMPRODUCT(E$6:P$6,E17:P17)/SUM(E$6:P$6)</f>
        <v>0</v>
      </c>
      <c r="R17" s="57">
        <v>0</v>
      </c>
      <c r="S17" s="57">
        <v>0</v>
      </c>
      <c r="T17" s="57">
        <v>0</v>
      </c>
      <c r="U17" s="57">
        <v>0</v>
      </c>
      <c r="V17" s="57">
        <v>0</v>
      </c>
      <c r="W17" s="57">
        <v>0</v>
      </c>
      <c r="X17" s="57">
        <v>0</v>
      </c>
      <c r="Y17" s="57">
        <v>0</v>
      </c>
      <c r="Z17" s="57">
        <v>0</v>
      </c>
      <c r="AA17" s="57">
        <v>0</v>
      </c>
      <c r="AB17" s="57">
        <v>0</v>
      </c>
      <c r="AC17" s="57">
        <v>0</v>
      </c>
      <c r="AD17" s="57">
        <f>SUMPRODUCT(R$6:AC$6,R17:AC17)/SUM(R$6:AC$6)</f>
        <v>0</v>
      </c>
      <c r="AE17" s="57">
        <v>0</v>
      </c>
      <c r="AF17" s="57">
        <v>0</v>
      </c>
      <c r="AG17" s="57">
        <v>0</v>
      </c>
      <c r="AH17" s="57">
        <v>0</v>
      </c>
      <c r="AI17" s="57">
        <v>0</v>
      </c>
      <c r="AJ17" s="57">
        <v>0</v>
      </c>
      <c r="AK17" s="57">
        <v>0</v>
      </c>
      <c r="AL17" s="57">
        <v>0</v>
      </c>
      <c r="AM17" s="57">
        <v>0</v>
      </c>
      <c r="AN17" s="57">
        <v>0</v>
      </c>
      <c r="AO17" s="57">
        <v>0</v>
      </c>
      <c r="AP17" s="57">
        <v>0</v>
      </c>
      <c r="AQ17" s="61">
        <f>SUMPRODUCT(AE$6:AP$6,AE17:AP17)/SUM(AE$6:AP$6)</f>
        <v>0</v>
      </c>
      <c r="AR17" s="57">
        <v>0</v>
      </c>
      <c r="AS17" s="57">
        <v>0</v>
      </c>
      <c r="AT17" s="57">
        <v>0</v>
      </c>
      <c r="AU17" s="57">
        <v>0</v>
      </c>
      <c r="AV17" s="57">
        <v>0</v>
      </c>
      <c r="AW17" s="57">
        <v>0</v>
      </c>
      <c r="AX17" s="57">
        <v>0</v>
      </c>
      <c r="AY17" s="57">
        <v>0</v>
      </c>
      <c r="AZ17" s="57">
        <v>0</v>
      </c>
      <c r="BA17" s="57">
        <v>0</v>
      </c>
      <c r="BB17" s="57">
        <v>0</v>
      </c>
      <c r="BC17" s="57">
        <v>0</v>
      </c>
      <c r="BD17" s="61">
        <f>SUMPRODUCT(AR$6:BC$6,AR17:BC17)/SUM(AR$6:BC$6)</f>
        <v>0</v>
      </c>
      <c r="BE17" s="57">
        <v>0</v>
      </c>
      <c r="BF17" s="57">
        <v>0</v>
      </c>
      <c r="BG17" s="57">
        <v>0</v>
      </c>
      <c r="BH17" s="57">
        <v>0</v>
      </c>
      <c r="BI17" s="57">
        <v>0</v>
      </c>
      <c r="BJ17" s="57">
        <v>0</v>
      </c>
      <c r="BK17" s="57">
        <v>0</v>
      </c>
      <c r="BL17" s="57">
        <v>0</v>
      </c>
      <c r="BM17" s="57">
        <v>0</v>
      </c>
      <c r="BN17" s="57">
        <v>0</v>
      </c>
      <c r="BO17" s="57">
        <v>0</v>
      </c>
      <c r="BP17" s="57">
        <v>2741</v>
      </c>
      <c r="BQ17" s="61">
        <f>BP17*25/365</f>
        <v>187.73972602739727</v>
      </c>
      <c r="BR17" s="143"/>
      <c r="BS17" s="57">
        <v>3131.95</v>
      </c>
      <c r="BT17" s="57">
        <v>3188.4870440695386</v>
      </c>
      <c r="BU17" s="57">
        <v>3308.9941770354999</v>
      </c>
      <c r="BV17" s="57">
        <v>3528.6204352742079</v>
      </c>
      <c r="BW17" s="57">
        <v>4173.5418289591125</v>
      </c>
      <c r="BX17" s="57">
        <v>4485.6818939779869</v>
      </c>
      <c r="BY17" s="57">
        <v>4672.9949870581904</v>
      </c>
      <c r="BZ17" s="57">
        <v>4845.1422260056461</v>
      </c>
      <c r="CA17" s="57">
        <v>4795.7594875890054</v>
      </c>
      <c r="CB17" s="57">
        <v>4571.2587542437886</v>
      </c>
      <c r="CC17" s="57">
        <v>4851.2510506425751</v>
      </c>
      <c r="CD17" s="57">
        <v>5071.6709239389802</v>
      </c>
      <c r="CE17" s="61">
        <f>SUMPRODUCT(BS$6:CD$6,BS17:CD17)/SUM(BS$6:CD$6)</f>
        <v>4225.0935974601043</v>
      </c>
      <c r="CF17" s="143"/>
      <c r="CG17" s="57">
        <v>5446.3093614142808</v>
      </c>
      <c r="CH17" s="57">
        <v>5602.1322279915648</v>
      </c>
      <c r="CI17" s="57">
        <v>5754.4603516248062</v>
      </c>
      <c r="CJ17" s="57">
        <v>5340</v>
      </c>
      <c r="CK17" s="57">
        <v>5149.1990818580698</v>
      </c>
      <c r="CL17" s="57">
        <v>4871.0358204478935</v>
      </c>
      <c r="CM17" s="57">
        <v>5115.7304059779417</v>
      </c>
      <c r="CN17" s="57">
        <v>5025.7458547791921</v>
      </c>
      <c r="CO17" s="57">
        <v>5383.0954427917031</v>
      </c>
      <c r="CP17" s="57">
        <v>5300.4415601508845</v>
      </c>
      <c r="CQ17" s="57">
        <v>5300.733085825168</v>
      </c>
      <c r="CR17" s="57">
        <v>5771.3996130756177</v>
      </c>
      <c r="CS17" s="61">
        <f>SUMPRODUCT(CG$6:CR$6,CG17:CR17)/SUM(CG$6:CR$6)</f>
        <v>5337.4452217835924</v>
      </c>
      <c r="CT17" s="143"/>
      <c r="CU17" s="57">
        <v>5489.0351018269585</v>
      </c>
      <c r="CV17" s="57">
        <v>5318.7975923715831</v>
      </c>
      <c r="CW17" s="57">
        <v>5260.3684632822851</v>
      </c>
      <c r="CX17" s="57">
        <v>4926.4032787123042</v>
      </c>
      <c r="CY17" s="57">
        <v>5045.0370700286076</v>
      </c>
      <c r="CZ17" s="57">
        <v>5313.7746344700336</v>
      </c>
      <c r="DA17" s="57">
        <v>5553.9262618982129</v>
      </c>
      <c r="DB17" s="57">
        <v>5011.4113537550938</v>
      </c>
      <c r="DC17" s="57">
        <v>5170.6073463417733</v>
      </c>
      <c r="DD17" s="57">
        <v>5060.6802409975817</v>
      </c>
      <c r="DE17" s="57">
        <v>4781.4201450947949</v>
      </c>
      <c r="DF17" s="57">
        <v>4670.4393271162289</v>
      </c>
      <c r="DG17" s="57">
        <v>5133.4129090256747</v>
      </c>
      <c r="DH17" s="57">
        <v>0</v>
      </c>
      <c r="DI17" s="57">
        <v>4744.4118450266587</v>
      </c>
      <c r="DJ17" s="57">
        <v>4839.7278132350493</v>
      </c>
      <c r="DK17" s="57">
        <v>4776.2798856827385</v>
      </c>
      <c r="DL17" s="57">
        <v>4826.850456533909</v>
      </c>
      <c r="DM17" s="57">
        <v>4670.3228656358642</v>
      </c>
      <c r="DN17" s="57">
        <v>4791.165245451074</v>
      </c>
      <c r="DO17" s="277">
        <v>4163.6929047283238</v>
      </c>
      <c r="DP17" s="277">
        <v>3883.4802935617122</v>
      </c>
      <c r="DQ17" s="277">
        <v>3938.6927738898075</v>
      </c>
      <c r="DR17" s="277">
        <v>4040.5259619213762</v>
      </c>
      <c r="DS17" s="277">
        <v>4349.4912829749328</v>
      </c>
      <c r="DT17" s="277">
        <v>4325.6912297263461</v>
      </c>
      <c r="DU17" s="277">
        <v>4442.2874687968397</v>
      </c>
      <c r="DV17" s="277">
        <v>4119</v>
      </c>
      <c r="DW17" s="277">
        <v>3935.0820187319332</v>
      </c>
      <c r="DX17" s="277">
        <v>3911.7510132742805</v>
      </c>
      <c r="DY17" s="277">
        <v>3938.5302891589254</v>
      </c>
      <c r="DZ17" s="277">
        <v>3712.2772505448856</v>
      </c>
      <c r="EA17" s="402">
        <v>3709.1804707978113</v>
      </c>
      <c r="EB17" s="402">
        <v>3565.9535451937168</v>
      </c>
      <c r="EC17" s="402">
        <v>3521.9323229828956</v>
      </c>
    </row>
    <row r="18" spans="3:133" ht="15" thickBot="1">
      <c r="C18" s="28" t="s">
        <v>38</v>
      </c>
      <c r="D18" s="28"/>
      <c r="E18" s="58">
        <f t="shared" ref="E18:P18" si="19">SUM(E16:E17)</f>
        <v>0</v>
      </c>
      <c r="F18" s="58">
        <f t="shared" si="19"/>
        <v>0</v>
      </c>
      <c r="G18" s="58">
        <f t="shared" si="19"/>
        <v>0</v>
      </c>
      <c r="H18" s="58">
        <f t="shared" si="19"/>
        <v>0</v>
      </c>
      <c r="I18" s="58">
        <f t="shared" si="19"/>
        <v>0</v>
      </c>
      <c r="J18" s="58">
        <f t="shared" si="19"/>
        <v>0</v>
      </c>
      <c r="K18" s="58">
        <f t="shared" si="19"/>
        <v>0</v>
      </c>
      <c r="L18" s="58">
        <f t="shared" si="19"/>
        <v>0</v>
      </c>
      <c r="M18" s="58">
        <f t="shared" si="19"/>
        <v>0</v>
      </c>
      <c r="N18" s="58">
        <f t="shared" si="19"/>
        <v>0</v>
      </c>
      <c r="O18" s="58">
        <f t="shared" si="19"/>
        <v>0</v>
      </c>
      <c r="P18" s="58">
        <f t="shared" si="19"/>
        <v>0</v>
      </c>
      <c r="Q18" s="58">
        <f>SUM(Q16:Q17)</f>
        <v>0</v>
      </c>
      <c r="R18" s="58">
        <f t="shared" ref="R18:AC18" si="20">SUM(R16:R17)</f>
        <v>0</v>
      </c>
      <c r="S18" s="58">
        <f t="shared" si="20"/>
        <v>0</v>
      </c>
      <c r="T18" s="58">
        <f t="shared" si="20"/>
        <v>0</v>
      </c>
      <c r="U18" s="58">
        <f t="shared" si="20"/>
        <v>0</v>
      </c>
      <c r="V18" s="58">
        <f t="shared" si="20"/>
        <v>0</v>
      </c>
      <c r="W18" s="58">
        <f t="shared" si="20"/>
        <v>0</v>
      </c>
      <c r="X18" s="58">
        <f t="shared" si="20"/>
        <v>0</v>
      </c>
      <c r="Y18" s="58">
        <f t="shared" si="20"/>
        <v>0</v>
      </c>
      <c r="Z18" s="58">
        <f t="shared" si="20"/>
        <v>0</v>
      </c>
      <c r="AA18" s="58">
        <f t="shared" si="20"/>
        <v>0</v>
      </c>
      <c r="AB18" s="58">
        <f t="shared" si="20"/>
        <v>0</v>
      </c>
      <c r="AC18" s="58">
        <f t="shared" si="20"/>
        <v>0</v>
      </c>
      <c r="AD18" s="58">
        <f>SUM(AD16:AD17)</f>
        <v>0</v>
      </c>
      <c r="AE18" s="58">
        <f t="shared" ref="AE18:AP18" si="21">SUM(AE15:AE17)</f>
        <v>0</v>
      </c>
      <c r="AF18" s="58">
        <f t="shared" si="21"/>
        <v>0</v>
      </c>
      <c r="AG18" s="58">
        <f t="shared" si="21"/>
        <v>0</v>
      </c>
      <c r="AH18" s="58">
        <f t="shared" si="21"/>
        <v>0</v>
      </c>
      <c r="AI18" s="58">
        <f t="shared" si="21"/>
        <v>0</v>
      </c>
      <c r="AJ18" s="58">
        <f t="shared" si="21"/>
        <v>0</v>
      </c>
      <c r="AK18" s="58">
        <f t="shared" si="21"/>
        <v>0</v>
      </c>
      <c r="AL18" s="58">
        <f t="shared" si="21"/>
        <v>0</v>
      </c>
      <c r="AM18" s="58">
        <f t="shared" si="21"/>
        <v>0</v>
      </c>
      <c r="AN18" s="58">
        <f t="shared" si="21"/>
        <v>0</v>
      </c>
      <c r="AO18" s="58">
        <f t="shared" si="21"/>
        <v>0</v>
      </c>
      <c r="AP18" s="58">
        <f t="shared" si="21"/>
        <v>0</v>
      </c>
      <c r="AQ18" s="62">
        <f>SUM(AQ16:AQ17)</f>
        <v>0</v>
      </c>
      <c r="AR18" s="58">
        <f t="shared" ref="AR18:BC18" si="22">SUM(AR16:AR17)</f>
        <v>0</v>
      </c>
      <c r="AS18" s="58">
        <f t="shared" si="22"/>
        <v>0</v>
      </c>
      <c r="AT18" s="58">
        <f t="shared" si="22"/>
        <v>0</v>
      </c>
      <c r="AU18" s="58">
        <f t="shared" si="22"/>
        <v>0</v>
      </c>
      <c r="AV18" s="58">
        <f t="shared" si="22"/>
        <v>0</v>
      </c>
      <c r="AW18" s="58">
        <f t="shared" si="22"/>
        <v>0</v>
      </c>
      <c r="AX18" s="58">
        <f t="shared" si="22"/>
        <v>0</v>
      </c>
      <c r="AY18" s="58">
        <f t="shared" si="22"/>
        <v>0</v>
      </c>
      <c r="AZ18" s="58">
        <f t="shared" si="22"/>
        <v>0</v>
      </c>
      <c r="BA18" s="58">
        <f t="shared" si="22"/>
        <v>0</v>
      </c>
      <c r="BB18" s="58">
        <f t="shared" si="22"/>
        <v>0</v>
      </c>
      <c r="BC18" s="58">
        <f t="shared" si="22"/>
        <v>0</v>
      </c>
      <c r="BD18" s="62">
        <f>SUM(BD16:BD17)</f>
        <v>0</v>
      </c>
      <c r="BE18" s="58">
        <f t="shared" ref="BE18:BP18" si="23">SUM(BE16:BE17)</f>
        <v>0</v>
      </c>
      <c r="BF18" s="58">
        <f t="shared" si="23"/>
        <v>0</v>
      </c>
      <c r="BG18" s="58">
        <f t="shared" si="23"/>
        <v>0</v>
      </c>
      <c r="BH18" s="58">
        <f t="shared" si="23"/>
        <v>0</v>
      </c>
      <c r="BI18" s="58">
        <f t="shared" si="23"/>
        <v>0</v>
      </c>
      <c r="BJ18" s="58">
        <f t="shared" si="23"/>
        <v>0</v>
      </c>
      <c r="BK18" s="58">
        <f t="shared" si="23"/>
        <v>0</v>
      </c>
      <c r="BL18" s="58">
        <f t="shared" si="23"/>
        <v>0</v>
      </c>
      <c r="BM18" s="58">
        <f t="shared" si="23"/>
        <v>0</v>
      </c>
      <c r="BN18" s="58">
        <f t="shared" si="23"/>
        <v>0</v>
      </c>
      <c r="BO18" s="58">
        <f t="shared" si="23"/>
        <v>0</v>
      </c>
      <c r="BP18" s="58">
        <f t="shared" si="23"/>
        <v>3559</v>
      </c>
      <c r="BQ18" s="62">
        <f>SUM(BQ16:BQ17)</f>
        <v>243.76712328767124</v>
      </c>
      <c r="BR18" s="144"/>
      <c r="BS18" s="62">
        <f t="shared" ref="BS18:CC18" si="24">SUM(BS16:BS17)</f>
        <v>4181.9699999999993</v>
      </c>
      <c r="BT18" s="62">
        <f t="shared" si="24"/>
        <v>4289.9693012971484</v>
      </c>
      <c r="BU18" s="62">
        <f t="shared" si="24"/>
        <v>4503.9696699436308</v>
      </c>
      <c r="BV18" s="62">
        <v>4862.2955214742333</v>
      </c>
      <c r="BW18" s="62">
        <f t="shared" si="24"/>
        <v>5465.9656570283487</v>
      </c>
      <c r="BX18" s="62">
        <f>SUM(BX16:BX17)</f>
        <v>5915.0048435092249</v>
      </c>
      <c r="BY18" s="62">
        <f t="shared" si="24"/>
        <v>6210.2929190634113</v>
      </c>
      <c r="BZ18" s="62">
        <f t="shared" si="24"/>
        <v>6590.5175416282273</v>
      </c>
      <c r="CA18" s="62">
        <f t="shared" si="24"/>
        <v>6497.2001948525249</v>
      </c>
      <c r="CB18" s="62">
        <v>6259.996410522228</v>
      </c>
      <c r="CC18" s="62">
        <f t="shared" si="24"/>
        <v>6579.6262919582641</v>
      </c>
      <c r="CD18" s="62">
        <f>SUM(CD16:CD17)</f>
        <v>6690.6267420149479</v>
      </c>
      <c r="CE18" s="62">
        <f>SUM(CE16:CE17)</f>
        <v>5678.7574058530745</v>
      </c>
      <c r="CF18" s="144"/>
      <c r="CG18" s="62">
        <f t="shared" ref="CG18:CS18" si="25">SUM(CG16:CG17)</f>
        <v>7277.4944913618647</v>
      </c>
      <c r="CH18" s="62">
        <f t="shared" si="25"/>
        <v>7453.9538583562062</v>
      </c>
      <c r="CI18" s="62">
        <f t="shared" si="25"/>
        <v>7484.635436811709</v>
      </c>
      <c r="CJ18" s="62">
        <f t="shared" si="25"/>
        <v>7108.3529845018447</v>
      </c>
      <c r="CK18" s="62">
        <f t="shared" si="25"/>
        <v>6837.469743831808</v>
      </c>
      <c r="CL18" s="62">
        <f t="shared" si="25"/>
        <v>6399.7018128387826</v>
      </c>
      <c r="CM18" s="62">
        <f t="shared" si="25"/>
        <v>7097.0264712287935</v>
      </c>
      <c r="CN18" s="62">
        <f t="shared" si="25"/>
        <v>6929.9186524182251</v>
      </c>
      <c r="CO18" s="62">
        <f t="shared" si="25"/>
        <v>7341.8352458200779</v>
      </c>
      <c r="CP18" s="62">
        <f t="shared" si="25"/>
        <v>7188.7656546265007</v>
      </c>
      <c r="CQ18" s="62">
        <f t="shared" si="25"/>
        <v>7213.3681085379812</v>
      </c>
      <c r="CR18" s="62">
        <f t="shared" si="25"/>
        <v>7572.8622413799239</v>
      </c>
      <c r="CS18" s="62">
        <f t="shared" si="25"/>
        <v>7157.9227562365968</v>
      </c>
      <c r="CT18" s="144"/>
      <c r="CU18" s="62">
        <f>SUM(CU16:CU17)</f>
        <v>7418.3842744706089</v>
      </c>
      <c r="CV18" s="62">
        <f>SUM(CV16:CV17)</f>
        <v>7137.8089854460723</v>
      </c>
      <c r="CW18" s="62">
        <f>SUM(CW16:CW17)</f>
        <v>7113.6739702949972</v>
      </c>
      <c r="CX18" s="62">
        <f>SUM(CX16:CX17)</f>
        <v>6652.047308945158</v>
      </c>
      <c r="CY18" s="62">
        <f t="shared" ref="CY18:DE18" si="26">SUM(CY16:CY17)</f>
        <v>6746.5315962928862</v>
      </c>
      <c r="CZ18" s="62">
        <f t="shared" si="26"/>
        <v>7126.7094875607581</v>
      </c>
      <c r="DA18" s="62">
        <f t="shared" si="26"/>
        <v>7326.0517157725462</v>
      </c>
      <c r="DB18" s="62">
        <f t="shared" si="26"/>
        <v>6643.4280772937527</v>
      </c>
      <c r="DC18" s="62">
        <f t="shared" si="26"/>
        <v>6769.2717607965387</v>
      </c>
      <c r="DD18" s="62">
        <f t="shared" si="26"/>
        <v>6708.5042772083771</v>
      </c>
      <c r="DE18" s="62">
        <f t="shared" si="26"/>
        <v>6454.1608242142756</v>
      </c>
      <c r="DF18" s="62">
        <v>6337.3047301510887</v>
      </c>
      <c r="DG18" s="62">
        <v>6869.3234423755457</v>
      </c>
      <c r="DH18" s="62">
        <v>0</v>
      </c>
      <c r="DI18" s="62">
        <v>6211.3182467481283</v>
      </c>
      <c r="DJ18" s="62">
        <v>6292.2966052978345</v>
      </c>
      <c r="DK18" s="62">
        <f t="shared" ref="DK18:DR18" si="27">SUM(DK16:DK17)</f>
        <v>6376.8192887161622</v>
      </c>
      <c r="DL18" s="62">
        <f t="shared" si="27"/>
        <v>6535.1222483140336</v>
      </c>
      <c r="DM18" s="62">
        <f t="shared" si="27"/>
        <v>6406.9522298330658</v>
      </c>
      <c r="DN18" s="62">
        <f t="shared" si="27"/>
        <v>6675.4108500245566</v>
      </c>
      <c r="DO18" s="62">
        <f t="shared" si="27"/>
        <v>6128.2227490374098</v>
      </c>
      <c r="DP18" s="62">
        <f t="shared" si="27"/>
        <v>5842.798507065183</v>
      </c>
      <c r="DQ18" s="62">
        <f t="shared" si="27"/>
        <v>5859.0323967605682</v>
      </c>
      <c r="DR18" s="62">
        <f t="shared" si="27"/>
        <v>5971.9578066968334</v>
      </c>
      <c r="DS18" s="62">
        <v>6144.5090978414546</v>
      </c>
      <c r="DT18" s="62">
        <v>6128.0333714782737</v>
      </c>
      <c r="DU18" s="62">
        <v>6212.755372392834</v>
      </c>
      <c r="DV18" s="62">
        <v>5890</v>
      </c>
      <c r="DW18" s="62">
        <v>5684.300723452272</v>
      </c>
      <c r="DX18" s="62">
        <f>DX17+DX16</f>
        <v>5710.8454285822181</v>
      </c>
      <c r="DY18" s="62">
        <f>DY17+DY16</f>
        <v>5757.4066972931669</v>
      </c>
      <c r="DZ18" s="62">
        <f>DZ17+DZ16</f>
        <v>5485.7984506245966</v>
      </c>
      <c r="EA18" s="62">
        <f>EA17+EA16</f>
        <v>5385.2052284005595</v>
      </c>
      <c r="EB18" s="62">
        <f>EB17+EB16</f>
        <v>5235.0209203357153</v>
      </c>
      <c r="EC18" s="62">
        <v>5252.2522241656361</v>
      </c>
    </row>
    <row r="19" spans="3:133" ht="5.25" customHeight="1" thickBot="1">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63"/>
      <c r="AR19" s="25"/>
      <c r="AS19" s="25"/>
      <c r="AT19" s="25"/>
      <c r="AU19" s="25"/>
      <c r="AV19" s="25"/>
      <c r="AW19" s="25"/>
      <c r="AX19" s="25"/>
      <c r="AY19" s="25"/>
      <c r="AZ19" s="25"/>
      <c r="BA19" s="25"/>
      <c r="BB19" s="25"/>
      <c r="BC19" s="25"/>
      <c r="BD19" s="63"/>
      <c r="BE19" s="25"/>
      <c r="BF19" s="25"/>
      <c r="BG19" s="25"/>
      <c r="BH19" s="25"/>
      <c r="BI19" s="25"/>
      <c r="BJ19" s="25"/>
      <c r="BK19" s="25"/>
      <c r="BL19" s="25"/>
      <c r="BM19" s="25"/>
      <c r="BN19" s="25"/>
      <c r="BO19" s="25"/>
      <c r="BQ19" s="63"/>
      <c r="BR19" s="145"/>
      <c r="BS19" s="25"/>
      <c r="BT19" s="25"/>
      <c r="BU19" s="25"/>
      <c r="BV19" s="25"/>
      <c r="BW19" s="25"/>
      <c r="BX19" s="25"/>
      <c r="BY19" s="25"/>
      <c r="BZ19" s="25"/>
      <c r="CA19" s="25"/>
      <c r="CB19" s="25"/>
      <c r="CC19" s="25"/>
      <c r="CE19" s="63"/>
      <c r="CF19" s="145"/>
      <c r="CG19" s="25"/>
      <c r="CH19" s="25"/>
      <c r="CI19" s="25"/>
      <c r="CJ19" s="25"/>
      <c r="CK19" s="25"/>
      <c r="CL19" s="25"/>
      <c r="CM19" s="25"/>
      <c r="CN19" s="25"/>
      <c r="CO19" s="25"/>
      <c r="CP19" s="25"/>
      <c r="CQ19" s="25"/>
      <c r="CS19" s="63"/>
      <c r="CT19" s="14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row>
    <row r="20" spans="3:133" ht="15.5" thickTop="1" thickBot="1">
      <c r="C20" s="10" t="s">
        <v>670</v>
      </c>
      <c r="D20" s="10"/>
      <c r="E20" s="55">
        <v>0</v>
      </c>
      <c r="F20" s="55">
        <v>0</v>
      </c>
      <c r="G20" s="55">
        <v>0</v>
      </c>
      <c r="H20" s="55">
        <v>0</v>
      </c>
      <c r="I20" s="55">
        <v>0</v>
      </c>
      <c r="J20" s="55">
        <v>0</v>
      </c>
      <c r="K20" s="55">
        <v>0</v>
      </c>
      <c r="L20" s="55">
        <v>0</v>
      </c>
      <c r="M20" s="55">
        <v>0</v>
      </c>
      <c r="N20" s="55">
        <v>0</v>
      </c>
      <c r="O20" s="55">
        <v>0</v>
      </c>
      <c r="P20" s="55">
        <v>0</v>
      </c>
      <c r="Q20" s="56">
        <f>SUMPRODUCT(E$6:P$6,E20:P20)/SUM(E$6:P$6)</f>
        <v>0</v>
      </c>
      <c r="R20" s="55">
        <v>0</v>
      </c>
      <c r="S20" s="55">
        <v>0</v>
      </c>
      <c r="T20" s="55">
        <v>0</v>
      </c>
      <c r="U20" s="55">
        <v>0</v>
      </c>
      <c r="V20" s="55">
        <v>0</v>
      </c>
      <c r="W20" s="55">
        <v>0</v>
      </c>
      <c r="X20" s="55">
        <v>0</v>
      </c>
      <c r="Y20" s="55">
        <v>0</v>
      </c>
      <c r="Z20" s="55">
        <v>0</v>
      </c>
      <c r="AA20" s="55">
        <v>0</v>
      </c>
      <c r="AB20" s="55">
        <v>0</v>
      </c>
      <c r="AC20" s="55">
        <v>0</v>
      </c>
      <c r="AD20" s="56">
        <f>SUMPRODUCT(R$6:AC$6,R20:AC20)/SUM(R$6:AC$6)</f>
        <v>0</v>
      </c>
      <c r="AE20" s="55">
        <v>0</v>
      </c>
      <c r="AF20" s="55">
        <v>0</v>
      </c>
      <c r="AG20" s="55">
        <v>0</v>
      </c>
      <c r="AH20" s="55">
        <v>0</v>
      </c>
      <c r="AI20" s="55">
        <v>0</v>
      </c>
      <c r="AJ20" s="55">
        <v>0</v>
      </c>
      <c r="AK20" s="55">
        <v>0</v>
      </c>
      <c r="AL20" s="55">
        <v>0</v>
      </c>
      <c r="AM20" s="55">
        <v>0</v>
      </c>
      <c r="AN20" s="55">
        <v>0</v>
      </c>
      <c r="AO20" s="55">
        <v>0</v>
      </c>
      <c r="AP20" s="55">
        <v>0</v>
      </c>
      <c r="AQ20" s="60">
        <f>SUMPRODUCT(AE$6:AP$6,AE20:AP20)/SUM(AE$6:AP$6)</f>
        <v>0</v>
      </c>
      <c r="AR20" s="56">
        <v>0</v>
      </c>
      <c r="AS20" s="56">
        <v>0</v>
      </c>
      <c r="AT20" s="56">
        <v>0</v>
      </c>
      <c r="AU20" s="56">
        <v>0</v>
      </c>
      <c r="AV20" s="56">
        <v>0</v>
      </c>
      <c r="AW20" s="56">
        <v>0</v>
      </c>
      <c r="AX20" s="56">
        <v>0</v>
      </c>
      <c r="AY20" s="56">
        <v>0</v>
      </c>
      <c r="AZ20" s="56">
        <v>0</v>
      </c>
      <c r="BA20" s="56">
        <v>0</v>
      </c>
      <c r="BB20" s="56">
        <v>0</v>
      </c>
      <c r="BC20" s="56">
        <v>0</v>
      </c>
      <c r="BD20" s="60">
        <f>SUMPRODUCT(AR$6:BC$6,AR20:BC20)/SUM(AR$6:BC$6)</f>
        <v>0</v>
      </c>
      <c r="BE20" s="56">
        <v>0</v>
      </c>
      <c r="BF20" s="56">
        <v>0</v>
      </c>
      <c r="BG20" s="56">
        <v>0</v>
      </c>
      <c r="BH20" s="56">
        <v>0</v>
      </c>
      <c r="BI20" s="56">
        <v>0</v>
      </c>
      <c r="BJ20" s="56">
        <v>0</v>
      </c>
      <c r="BK20" s="56">
        <v>0</v>
      </c>
      <c r="BL20" s="56">
        <v>0</v>
      </c>
      <c r="BM20" s="56">
        <v>0</v>
      </c>
      <c r="BN20" s="56">
        <v>0</v>
      </c>
      <c r="BO20" s="56">
        <v>0</v>
      </c>
      <c r="BP20" s="56">
        <v>0</v>
      </c>
      <c r="BQ20" s="139">
        <f>BP20*25/365</f>
        <v>0</v>
      </c>
      <c r="BR20" s="143"/>
      <c r="BS20" s="56">
        <v>0</v>
      </c>
      <c r="BT20" s="56">
        <v>0</v>
      </c>
      <c r="BU20" s="56">
        <v>0</v>
      </c>
      <c r="BV20" s="56">
        <v>0</v>
      </c>
      <c r="BW20" s="56">
        <v>0</v>
      </c>
      <c r="BX20" s="56">
        <v>0</v>
      </c>
      <c r="BY20" s="56">
        <v>0</v>
      </c>
      <c r="BZ20" s="56">
        <v>0</v>
      </c>
      <c r="CA20" s="56">
        <v>0</v>
      </c>
      <c r="CB20" s="56">
        <v>0</v>
      </c>
      <c r="CC20" s="56">
        <v>0</v>
      </c>
      <c r="CD20" s="56">
        <v>0</v>
      </c>
      <c r="CE20" s="60">
        <f>SUMPRODUCT(BS$6:CD$6,BS20:CD20)/SUM(BS$6:CD$6)</f>
        <v>0</v>
      </c>
      <c r="CF20" s="143"/>
      <c r="CG20" s="56">
        <v>0</v>
      </c>
      <c r="CH20" s="56">
        <v>0</v>
      </c>
      <c r="CI20" s="56">
        <v>1872.3515241802083</v>
      </c>
      <c r="CJ20" s="56">
        <v>2093.7657328521677</v>
      </c>
      <c r="CK20" s="56">
        <v>1843.5890688953282</v>
      </c>
      <c r="CL20" s="56">
        <v>1975.2212058404375</v>
      </c>
      <c r="CM20" s="56">
        <v>2080.2274551921155</v>
      </c>
      <c r="CN20" s="56">
        <v>2043.0494608728845</v>
      </c>
      <c r="CO20" s="56">
        <v>1975.2908122025704</v>
      </c>
      <c r="CP20" s="56">
        <v>1840.2447780682921</v>
      </c>
      <c r="CQ20" s="56">
        <v>1594.3026953047461</v>
      </c>
      <c r="CR20" s="56">
        <v>1900.8151697505859</v>
      </c>
      <c r="CS20" s="60">
        <f>SUMPRODUCT(CG$6:CR$6,CG20:CR20)/SUM(CG$6:CR$6)</f>
        <v>1611.3589439773684</v>
      </c>
      <c r="CT20" s="143"/>
      <c r="CU20" s="56">
        <v>1843.9185726653541</v>
      </c>
      <c r="CV20" s="56">
        <v>1743.8231221897188</v>
      </c>
      <c r="CW20" s="56">
        <v>1442.7249333595437</v>
      </c>
      <c r="CX20" s="56">
        <v>1715.6392101190334</v>
      </c>
      <c r="CY20" s="56">
        <v>2022.7369549873792</v>
      </c>
      <c r="CZ20" s="56">
        <v>2770.4678508082338</v>
      </c>
      <c r="DA20" s="56">
        <v>2820.2464335074133</v>
      </c>
      <c r="DB20" s="56">
        <v>2681.6184399413814</v>
      </c>
      <c r="DC20" s="56">
        <v>3049.3608806062393</v>
      </c>
      <c r="DD20" s="56">
        <v>3093.0726787360704</v>
      </c>
      <c r="DE20" s="56">
        <v>3120.4802446016129</v>
      </c>
      <c r="DF20" s="56">
        <v>3492.2063091277905</v>
      </c>
      <c r="DG20" s="56">
        <v>2485.0862571574544</v>
      </c>
      <c r="DH20" s="56">
        <v>0</v>
      </c>
      <c r="DI20" s="56">
        <v>4130.9521630709405</v>
      </c>
      <c r="DJ20" s="56">
        <v>4161.2250118934244</v>
      </c>
      <c r="DK20" s="56">
        <v>3994.4848350211169</v>
      </c>
      <c r="DL20" s="56">
        <v>3639.5531877272483</v>
      </c>
      <c r="DM20" s="56">
        <v>3711.2165177585584</v>
      </c>
      <c r="DN20" s="56">
        <v>3420.5898820463403</v>
      </c>
      <c r="DO20" s="56">
        <v>3229.2404788062872</v>
      </c>
      <c r="DP20" s="56">
        <v>3176.2197249076212</v>
      </c>
      <c r="DQ20" s="56">
        <v>2811.2840874161648</v>
      </c>
      <c r="DR20" s="56">
        <v>2370.058080421406</v>
      </c>
      <c r="DS20" s="56">
        <v>2469.50701553302</v>
      </c>
      <c r="DT20" s="56">
        <v>2426.2569352368182</v>
      </c>
      <c r="DU20" s="56">
        <v>3290.2290857715179</v>
      </c>
      <c r="DV20" s="56">
        <v>2200</v>
      </c>
      <c r="DW20" s="56">
        <v>2360.5813318590926</v>
      </c>
      <c r="DX20" s="56">
        <v>2258.723413520554</v>
      </c>
      <c r="DY20" s="56">
        <v>1948.7018422897311</v>
      </c>
      <c r="DZ20" s="56">
        <v>1897.0095059629509</v>
      </c>
      <c r="EA20" s="402">
        <v>2493.3124710522966</v>
      </c>
      <c r="EB20" s="402">
        <v>2624.2880538994782</v>
      </c>
      <c r="EC20" s="402">
        <v>2723.0058046084491</v>
      </c>
    </row>
    <row r="21" spans="3:133" ht="15.5" thickTop="1" thickBot="1">
      <c r="C21" s="10" t="s">
        <v>671</v>
      </c>
      <c r="D21" s="10"/>
      <c r="E21" s="57">
        <v>0</v>
      </c>
      <c r="F21" s="57">
        <v>0</v>
      </c>
      <c r="G21" s="57">
        <v>0</v>
      </c>
      <c r="H21" s="57">
        <v>0</v>
      </c>
      <c r="I21" s="57">
        <v>0</v>
      </c>
      <c r="J21" s="57">
        <v>0</v>
      </c>
      <c r="K21" s="57">
        <v>0</v>
      </c>
      <c r="L21" s="57">
        <v>0</v>
      </c>
      <c r="M21" s="57">
        <v>0</v>
      </c>
      <c r="N21" s="57">
        <v>0</v>
      </c>
      <c r="O21" s="57">
        <v>0</v>
      </c>
      <c r="P21" s="57">
        <v>0</v>
      </c>
      <c r="Q21" s="57">
        <f>SUMPRODUCT(E$6:P$6,E21:P21)/SUM(E$6:P$6)</f>
        <v>0</v>
      </c>
      <c r="R21" s="57">
        <v>0</v>
      </c>
      <c r="S21" s="57">
        <v>0</v>
      </c>
      <c r="T21" s="57">
        <v>0</v>
      </c>
      <c r="U21" s="57">
        <v>0</v>
      </c>
      <c r="V21" s="57">
        <v>0</v>
      </c>
      <c r="W21" s="57">
        <v>0</v>
      </c>
      <c r="X21" s="57">
        <v>0</v>
      </c>
      <c r="Y21" s="57">
        <v>0</v>
      </c>
      <c r="Z21" s="57">
        <v>0</v>
      </c>
      <c r="AA21" s="57">
        <v>0</v>
      </c>
      <c r="AB21" s="57">
        <v>0</v>
      </c>
      <c r="AC21" s="57">
        <v>0</v>
      </c>
      <c r="AD21" s="57">
        <f>SUMPRODUCT(R$6:AC$6,R21:AC21)/SUM(R$6:AC$6)</f>
        <v>0</v>
      </c>
      <c r="AE21" s="57">
        <v>0</v>
      </c>
      <c r="AF21" s="57">
        <v>0</v>
      </c>
      <c r="AG21" s="57">
        <v>0</v>
      </c>
      <c r="AH21" s="57">
        <v>0</v>
      </c>
      <c r="AI21" s="57">
        <v>0</v>
      </c>
      <c r="AJ21" s="57">
        <v>0</v>
      </c>
      <c r="AK21" s="57">
        <v>0</v>
      </c>
      <c r="AL21" s="57">
        <v>0</v>
      </c>
      <c r="AM21" s="57">
        <v>0</v>
      </c>
      <c r="AN21" s="57">
        <v>0</v>
      </c>
      <c r="AO21" s="57">
        <v>0</v>
      </c>
      <c r="AP21" s="57">
        <v>0</v>
      </c>
      <c r="AQ21" s="61">
        <f>SUMPRODUCT(AE$6:AP$6,AE21:AP21)/SUM(AE$6:AP$6)</f>
        <v>0</v>
      </c>
      <c r="AR21" s="57">
        <v>0</v>
      </c>
      <c r="AS21" s="57">
        <v>0</v>
      </c>
      <c r="AT21" s="57">
        <v>0</v>
      </c>
      <c r="AU21" s="57">
        <v>0</v>
      </c>
      <c r="AV21" s="57">
        <v>0</v>
      </c>
      <c r="AW21" s="57">
        <v>0</v>
      </c>
      <c r="AX21" s="57">
        <v>0</v>
      </c>
      <c r="AY21" s="57">
        <v>0</v>
      </c>
      <c r="AZ21" s="57">
        <v>0</v>
      </c>
      <c r="BA21" s="57">
        <v>0</v>
      </c>
      <c r="BB21" s="57">
        <v>0</v>
      </c>
      <c r="BC21" s="57">
        <v>0</v>
      </c>
      <c r="BD21" s="61">
        <f>SUMPRODUCT(AR$6:BC$6,AR21:BC21)/SUM(AR$6:BC$6)</f>
        <v>0</v>
      </c>
      <c r="BE21" s="57">
        <v>0</v>
      </c>
      <c r="BF21" s="57">
        <v>0</v>
      </c>
      <c r="BG21" s="57">
        <v>0</v>
      </c>
      <c r="BH21" s="57">
        <v>0</v>
      </c>
      <c r="BI21" s="57">
        <v>0</v>
      </c>
      <c r="BJ21" s="57">
        <v>0</v>
      </c>
      <c r="BK21" s="57">
        <v>0</v>
      </c>
      <c r="BL21" s="57">
        <v>0</v>
      </c>
      <c r="BM21" s="57">
        <v>0</v>
      </c>
      <c r="BN21" s="57">
        <v>0</v>
      </c>
      <c r="BO21" s="57">
        <v>0</v>
      </c>
      <c r="BP21" s="57">
        <v>0</v>
      </c>
      <c r="BQ21" s="61">
        <f>BP21*25/365</f>
        <v>0</v>
      </c>
      <c r="BR21" s="143"/>
      <c r="BS21" s="57">
        <v>0</v>
      </c>
      <c r="BT21" s="57">
        <v>0</v>
      </c>
      <c r="BU21" s="57">
        <v>0</v>
      </c>
      <c r="BV21" s="57">
        <v>0</v>
      </c>
      <c r="BW21" s="57">
        <v>0</v>
      </c>
      <c r="BX21" s="57">
        <v>0</v>
      </c>
      <c r="BY21" s="57">
        <v>0</v>
      </c>
      <c r="BZ21" s="57">
        <v>0</v>
      </c>
      <c r="CA21" s="57">
        <v>0</v>
      </c>
      <c r="CB21" s="57">
        <v>0</v>
      </c>
      <c r="CC21" s="57">
        <v>0</v>
      </c>
      <c r="CD21" s="57">
        <v>0</v>
      </c>
      <c r="CE21" s="61">
        <f>SUMPRODUCT(BS$6:CD$6,BS21:CD21)/SUM(BS$6:CD$6)</f>
        <v>0</v>
      </c>
      <c r="CF21" s="143"/>
      <c r="CG21" s="57">
        <v>0</v>
      </c>
      <c r="CH21" s="57">
        <v>0</v>
      </c>
      <c r="CI21" s="57">
        <v>309.5246923271942</v>
      </c>
      <c r="CJ21" s="57">
        <v>333</v>
      </c>
      <c r="CK21" s="57">
        <v>314.12815859310672</v>
      </c>
      <c r="CL21" s="57">
        <v>390.09858334393681</v>
      </c>
      <c r="CM21" s="57">
        <v>431.33203686795486</v>
      </c>
      <c r="CN21" s="57">
        <v>436.26632860620032</v>
      </c>
      <c r="CO21" s="57">
        <v>459.9930151800483</v>
      </c>
      <c r="CP21" s="57">
        <v>444.9956643749307</v>
      </c>
      <c r="CQ21" s="57">
        <v>400.77624122661916</v>
      </c>
      <c r="CR21" s="57">
        <v>474.74711127440793</v>
      </c>
      <c r="CS21" s="61">
        <f>SUMPRODUCT(CG$6:CR$6,CG21:CR21)/SUM(CG$6:CR$6)</f>
        <v>334.95027108459112</v>
      </c>
      <c r="CT21" s="143"/>
      <c r="CU21" s="57">
        <v>479.84589534205708</v>
      </c>
      <c r="CV21" s="57">
        <v>432.7210451379853</v>
      </c>
      <c r="CW21" s="57">
        <v>277.90192632289063</v>
      </c>
      <c r="CX21" s="57">
        <v>345.41702451775734</v>
      </c>
      <c r="CY21" s="57">
        <v>474.28654408049124</v>
      </c>
      <c r="CZ21" s="57">
        <v>723.01883798659003</v>
      </c>
      <c r="DA21" s="57">
        <v>861.26853626655816</v>
      </c>
      <c r="DB21" s="57">
        <v>647.00865083253075</v>
      </c>
      <c r="DC21" s="57">
        <v>709.91054432191402</v>
      </c>
      <c r="DD21" s="57">
        <v>694.8422636755065</v>
      </c>
      <c r="DE21" s="57">
        <v>663.08676863468622</v>
      </c>
      <c r="DF21" s="57">
        <v>603.05618198932768</v>
      </c>
      <c r="DG21" s="57">
        <v>576.43829378857981</v>
      </c>
      <c r="DH21" s="57">
        <v>0</v>
      </c>
      <c r="DI21" s="57">
        <v>665.13855757845022</v>
      </c>
      <c r="DJ21" s="57">
        <v>987.4948268929594</v>
      </c>
      <c r="DK21" s="57">
        <v>1267.8998436504339</v>
      </c>
      <c r="DL21" s="57">
        <v>1090.74723303224</v>
      </c>
      <c r="DM21" s="57">
        <v>1082.1154387531835</v>
      </c>
      <c r="DN21" s="57">
        <v>905.60183369385402</v>
      </c>
      <c r="DO21" s="57">
        <v>876.11699255882411</v>
      </c>
      <c r="DP21" s="57">
        <v>1028.980598305026</v>
      </c>
      <c r="DQ21" s="57">
        <v>877.22885481613423</v>
      </c>
      <c r="DR21" s="57">
        <v>544.69825655812724</v>
      </c>
      <c r="DS21" s="57">
        <v>469.67354098037526</v>
      </c>
      <c r="DT21" s="57">
        <v>433.57472933402977</v>
      </c>
      <c r="DU21" s="57">
        <v>851.51138615770219</v>
      </c>
      <c r="DV21" s="57">
        <v>382</v>
      </c>
      <c r="DW21" s="57">
        <v>408.20964064371901</v>
      </c>
      <c r="DX21" s="57">
        <v>401.55086562355052</v>
      </c>
      <c r="DY21" s="57">
        <v>356.33362729354872</v>
      </c>
      <c r="DZ21" s="57">
        <v>293.82480786359582</v>
      </c>
      <c r="EA21" s="402">
        <v>216.3667642193663</v>
      </c>
      <c r="EB21" s="402">
        <v>237.61875254587918</v>
      </c>
      <c r="EC21" s="402">
        <v>244.42931441248783</v>
      </c>
    </row>
    <row r="22" spans="3:133" ht="15" thickBot="1">
      <c r="C22" s="28" t="s">
        <v>812</v>
      </c>
      <c r="D22" s="28"/>
      <c r="E22" s="58">
        <f t="shared" ref="E22:P22" si="28">SUM(E20:E21)</f>
        <v>0</v>
      </c>
      <c r="F22" s="58">
        <f t="shared" si="28"/>
        <v>0</v>
      </c>
      <c r="G22" s="58">
        <f t="shared" si="28"/>
        <v>0</v>
      </c>
      <c r="H22" s="58">
        <f t="shared" si="28"/>
        <v>0</v>
      </c>
      <c r="I22" s="58">
        <f t="shared" si="28"/>
        <v>0</v>
      </c>
      <c r="J22" s="58">
        <f t="shared" si="28"/>
        <v>0</v>
      </c>
      <c r="K22" s="58">
        <f t="shared" si="28"/>
        <v>0</v>
      </c>
      <c r="L22" s="58">
        <f t="shared" si="28"/>
        <v>0</v>
      </c>
      <c r="M22" s="58">
        <f t="shared" si="28"/>
        <v>0</v>
      </c>
      <c r="N22" s="58">
        <f t="shared" si="28"/>
        <v>0</v>
      </c>
      <c r="O22" s="58">
        <f t="shared" si="28"/>
        <v>0</v>
      </c>
      <c r="P22" s="58">
        <f t="shared" si="28"/>
        <v>0</v>
      </c>
      <c r="Q22" s="58">
        <f>SUM(Q20:Q21)</f>
        <v>0</v>
      </c>
      <c r="R22" s="58">
        <f t="shared" ref="R22:AC22" si="29">SUM(R20:R21)</f>
        <v>0</v>
      </c>
      <c r="S22" s="58">
        <f t="shared" si="29"/>
        <v>0</v>
      </c>
      <c r="T22" s="58">
        <f t="shared" si="29"/>
        <v>0</v>
      </c>
      <c r="U22" s="58">
        <f t="shared" si="29"/>
        <v>0</v>
      </c>
      <c r="V22" s="58">
        <f t="shared" si="29"/>
        <v>0</v>
      </c>
      <c r="W22" s="58">
        <f t="shared" si="29"/>
        <v>0</v>
      </c>
      <c r="X22" s="58">
        <f t="shared" si="29"/>
        <v>0</v>
      </c>
      <c r="Y22" s="58">
        <f t="shared" si="29"/>
        <v>0</v>
      </c>
      <c r="Z22" s="58">
        <f t="shared" si="29"/>
        <v>0</v>
      </c>
      <c r="AA22" s="58">
        <f t="shared" si="29"/>
        <v>0</v>
      </c>
      <c r="AB22" s="58">
        <f t="shared" si="29"/>
        <v>0</v>
      </c>
      <c r="AC22" s="58">
        <f t="shared" si="29"/>
        <v>0</v>
      </c>
      <c r="AD22" s="58">
        <f>SUM(AD20:AD21)</f>
        <v>0</v>
      </c>
      <c r="AE22" s="58">
        <f t="shared" ref="AE22:AP22" si="30">SUM(AE19:AE21)</f>
        <v>0</v>
      </c>
      <c r="AF22" s="58">
        <f t="shared" si="30"/>
        <v>0</v>
      </c>
      <c r="AG22" s="58">
        <f t="shared" si="30"/>
        <v>0</v>
      </c>
      <c r="AH22" s="58">
        <f t="shared" si="30"/>
        <v>0</v>
      </c>
      <c r="AI22" s="58">
        <f t="shared" si="30"/>
        <v>0</v>
      </c>
      <c r="AJ22" s="58">
        <f t="shared" si="30"/>
        <v>0</v>
      </c>
      <c r="AK22" s="58">
        <f t="shared" si="30"/>
        <v>0</v>
      </c>
      <c r="AL22" s="58">
        <f t="shared" si="30"/>
        <v>0</v>
      </c>
      <c r="AM22" s="58">
        <f t="shared" si="30"/>
        <v>0</v>
      </c>
      <c r="AN22" s="58">
        <f t="shared" si="30"/>
        <v>0</v>
      </c>
      <c r="AO22" s="58">
        <f t="shared" si="30"/>
        <v>0</v>
      </c>
      <c r="AP22" s="58">
        <f t="shared" si="30"/>
        <v>0</v>
      </c>
      <c r="AQ22" s="62">
        <f>SUM(AQ20:AQ21)</f>
        <v>0</v>
      </c>
      <c r="AR22" s="58">
        <f t="shared" ref="AR22:BC22" si="31">SUM(AR20:AR21)</f>
        <v>0</v>
      </c>
      <c r="AS22" s="58">
        <f t="shared" si="31"/>
        <v>0</v>
      </c>
      <c r="AT22" s="58">
        <f t="shared" si="31"/>
        <v>0</v>
      </c>
      <c r="AU22" s="58">
        <f t="shared" si="31"/>
        <v>0</v>
      </c>
      <c r="AV22" s="58">
        <f t="shared" si="31"/>
        <v>0</v>
      </c>
      <c r="AW22" s="58">
        <f t="shared" si="31"/>
        <v>0</v>
      </c>
      <c r="AX22" s="58">
        <f t="shared" si="31"/>
        <v>0</v>
      </c>
      <c r="AY22" s="58">
        <f t="shared" si="31"/>
        <v>0</v>
      </c>
      <c r="AZ22" s="58">
        <f t="shared" si="31"/>
        <v>0</v>
      </c>
      <c r="BA22" s="58">
        <f t="shared" si="31"/>
        <v>0</v>
      </c>
      <c r="BB22" s="58">
        <f t="shared" si="31"/>
        <v>0</v>
      </c>
      <c r="BC22" s="58">
        <f t="shared" si="31"/>
        <v>0</v>
      </c>
      <c r="BD22" s="62">
        <f>SUM(BD20:BD21)</f>
        <v>0</v>
      </c>
      <c r="BE22" s="58">
        <f t="shared" ref="BE22:BP22" si="32">SUM(BE20:BE21)</f>
        <v>0</v>
      </c>
      <c r="BF22" s="58">
        <f t="shared" si="32"/>
        <v>0</v>
      </c>
      <c r="BG22" s="58">
        <f t="shared" si="32"/>
        <v>0</v>
      </c>
      <c r="BH22" s="58">
        <f t="shared" si="32"/>
        <v>0</v>
      </c>
      <c r="BI22" s="58">
        <f t="shared" si="32"/>
        <v>0</v>
      </c>
      <c r="BJ22" s="58">
        <f t="shared" si="32"/>
        <v>0</v>
      </c>
      <c r="BK22" s="58">
        <f t="shared" si="32"/>
        <v>0</v>
      </c>
      <c r="BL22" s="58">
        <f t="shared" si="32"/>
        <v>0</v>
      </c>
      <c r="BM22" s="58">
        <f t="shared" si="32"/>
        <v>0</v>
      </c>
      <c r="BN22" s="58">
        <f t="shared" si="32"/>
        <v>0</v>
      </c>
      <c r="BO22" s="58">
        <f t="shared" si="32"/>
        <v>0</v>
      </c>
      <c r="BP22" s="58">
        <f t="shared" si="32"/>
        <v>0</v>
      </c>
      <c r="BQ22" s="62">
        <f>SUM(BQ20:BQ21)</f>
        <v>0</v>
      </c>
      <c r="BR22" s="144"/>
      <c r="BS22" s="62">
        <f t="shared" ref="BS22:CB22" si="33">SUM(BS20:BS21)</f>
        <v>0</v>
      </c>
      <c r="BT22" s="62">
        <f t="shared" si="33"/>
        <v>0</v>
      </c>
      <c r="BU22" s="62">
        <f t="shared" si="33"/>
        <v>0</v>
      </c>
      <c r="BV22" s="62">
        <f t="shared" si="33"/>
        <v>0</v>
      </c>
      <c r="BW22" s="62">
        <f>SUM(BW20:BW21)</f>
        <v>0</v>
      </c>
      <c r="BX22" s="62">
        <f>SUM(BX20:BX21)</f>
        <v>0</v>
      </c>
      <c r="BY22" s="62">
        <f>SUM(BY20:BY21)</f>
        <v>0</v>
      </c>
      <c r="BZ22" s="62">
        <f>SUM(BZ20:BZ21)</f>
        <v>0</v>
      </c>
      <c r="CA22" s="62">
        <f>SUM(CA20:CA21)</f>
        <v>0</v>
      </c>
      <c r="CB22" s="62">
        <f t="shared" si="33"/>
        <v>0</v>
      </c>
      <c r="CC22" s="62">
        <f>SUM(CC20:CC21)</f>
        <v>0</v>
      </c>
      <c r="CD22" s="62">
        <f>SUM(CD20:CD21)</f>
        <v>0</v>
      </c>
      <c r="CE22" s="62">
        <f>SUM(CE20:CE21)</f>
        <v>0</v>
      </c>
      <c r="CF22" s="144"/>
      <c r="CG22" s="62">
        <f t="shared" ref="CG22:CS22" si="34">SUM(CG20:CG21)</f>
        <v>0</v>
      </c>
      <c r="CH22" s="62">
        <f t="shared" si="34"/>
        <v>0</v>
      </c>
      <c r="CI22" s="62">
        <f t="shared" si="34"/>
        <v>2181.8762165074027</v>
      </c>
      <c r="CJ22" s="62">
        <f t="shared" si="34"/>
        <v>2426.7657328521677</v>
      </c>
      <c r="CK22" s="62">
        <f t="shared" si="34"/>
        <v>2157.7172274884351</v>
      </c>
      <c r="CL22" s="62">
        <f t="shared" si="34"/>
        <v>2365.3197891843743</v>
      </c>
      <c r="CM22" s="62">
        <f t="shared" si="34"/>
        <v>2511.5594920600702</v>
      </c>
      <c r="CN22" s="62">
        <f t="shared" si="34"/>
        <v>2479.3157894790847</v>
      </c>
      <c r="CO22" s="62">
        <f t="shared" si="34"/>
        <v>2435.2838273826187</v>
      </c>
      <c r="CP22" s="62">
        <f t="shared" si="34"/>
        <v>2285.2404424432229</v>
      </c>
      <c r="CQ22" s="62">
        <f t="shared" si="34"/>
        <v>1995.0789365313653</v>
      </c>
      <c r="CR22" s="62">
        <f t="shared" si="34"/>
        <v>2375.5622810249938</v>
      </c>
      <c r="CS22" s="62">
        <f t="shared" si="34"/>
        <v>1946.3092150619595</v>
      </c>
      <c r="CT22" s="144"/>
      <c r="CU22" s="62">
        <f>SUM(CU20:CU21)</f>
        <v>2323.7644680074113</v>
      </c>
      <c r="CV22" s="62">
        <f>SUM(CV20:CV21)</f>
        <v>2176.5441673277041</v>
      </c>
      <c r="CW22" s="62">
        <f>SUM(CW20:CW21)</f>
        <v>1720.6268596824343</v>
      </c>
      <c r="CX22" s="62">
        <f>SUM(CX20:CX21)</f>
        <v>2061.0562346367906</v>
      </c>
      <c r="CY22" s="62">
        <f t="shared" ref="CY22:DE22" si="35">SUM(CY20:CY21)</f>
        <v>2497.0234990678705</v>
      </c>
      <c r="CZ22" s="62">
        <f t="shared" si="35"/>
        <v>3493.4866887948237</v>
      </c>
      <c r="DA22" s="62">
        <f t="shared" si="35"/>
        <v>3681.5149697739716</v>
      </c>
      <c r="DB22" s="62">
        <f t="shared" si="35"/>
        <v>3328.6270907739122</v>
      </c>
      <c r="DC22" s="62">
        <f t="shared" si="35"/>
        <v>3759.2714249281535</v>
      </c>
      <c r="DD22" s="62">
        <f t="shared" si="35"/>
        <v>3787.9149424115767</v>
      </c>
      <c r="DE22" s="62">
        <f t="shared" si="35"/>
        <v>3783.5670132362993</v>
      </c>
      <c r="DF22" s="62">
        <v>4095.2624911171183</v>
      </c>
      <c r="DG22" s="62">
        <v>3061.5245509460342</v>
      </c>
      <c r="DH22" s="62">
        <v>0</v>
      </c>
      <c r="DI22" s="62">
        <v>4796.0907206493903</v>
      </c>
      <c r="DJ22" s="62">
        <v>5148.7198387863837</v>
      </c>
      <c r="DK22" s="62">
        <f>SUM(DK20:DK21)</f>
        <v>5262.3846786715512</v>
      </c>
      <c r="DL22" s="62">
        <f>SUM(DL20:DL21)</f>
        <v>4730.3004207594886</v>
      </c>
      <c r="DM22" s="62">
        <f>SUM(DM20:DM21)</f>
        <v>4793.3319565117417</v>
      </c>
      <c r="DN22" s="62">
        <f t="shared" ref="DN22:DP22" si="36">SUM(DN20:DN21)</f>
        <v>4326.191715740194</v>
      </c>
      <c r="DO22" s="62">
        <f t="shared" si="36"/>
        <v>4105.3574713651115</v>
      </c>
      <c r="DP22" s="62">
        <f t="shared" si="36"/>
        <v>4205.2003232126472</v>
      </c>
      <c r="DQ22" s="62">
        <f t="shared" ref="DQ22:DR22" si="37">SUM(DQ20:DQ21)</f>
        <v>3688.5129422322989</v>
      </c>
      <c r="DR22" s="62">
        <f t="shared" si="37"/>
        <v>2914.7563369795334</v>
      </c>
      <c r="DS22" s="62">
        <v>2939.1805565133955</v>
      </c>
      <c r="DT22" s="62">
        <v>2859.8316645708478</v>
      </c>
      <c r="DU22" s="62">
        <v>4141.7404719292199</v>
      </c>
      <c r="DV22" s="62">
        <v>2581</v>
      </c>
      <c r="DW22" s="62">
        <v>2768.7909725028117</v>
      </c>
      <c r="DX22" s="62">
        <f>DX21+DX20</f>
        <v>2660.2742791441046</v>
      </c>
      <c r="DY22" s="62">
        <f>DY21+DY20</f>
        <v>2305.0354695832798</v>
      </c>
      <c r="DZ22" s="62">
        <f>DZ21+DZ20</f>
        <v>2190.8343138265468</v>
      </c>
      <c r="EA22" s="62">
        <f>EA21+EA20</f>
        <v>2709.6792352716629</v>
      </c>
      <c r="EB22" s="62">
        <f>EB21+EB20</f>
        <v>2861.9068064453572</v>
      </c>
      <c r="EC22" s="62">
        <v>2967.4351190209368</v>
      </c>
    </row>
    <row r="23" spans="3:133" ht="5.25" customHeight="1" thickBot="1">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63"/>
      <c r="AR23" s="25"/>
      <c r="AS23" s="25"/>
      <c r="AT23" s="25"/>
      <c r="AU23" s="25"/>
      <c r="AV23" s="25"/>
      <c r="AW23" s="25"/>
      <c r="AX23" s="25"/>
      <c r="AY23" s="25"/>
      <c r="AZ23" s="25"/>
      <c r="BA23" s="25"/>
      <c r="BB23" s="25"/>
      <c r="BC23" s="25"/>
      <c r="BD23" s="63"/>
      <c r="BE23" s="25"/>
      <c r="BF23" s="25"/>
      <c r="BG23" s="25"/>
      <c r="BH23" s="25"/>
      <c r="BI23" s="25"/>
      <c r="BJ23" s="25"/>
      <c r="BK23" s="25"/>
      <c r="BL23" s="25"/>
      <c r="BM23" s="25"/>
      <c r="BN23" s="25"/>
      <c r="BO23" s="25"/>
      <c r="BQ23" s="63"/>
      <c r="BR23" s="145"/>
      <c r="BS23" s="25"/>
      <c r="BT23" s="25"/>
      <c r="BU23" s="25"/>
      <c r="BV23" s="25"/>
      <c r="BW23" s="25"/>
      <c r="BX23" s="25"/>
      <c r="BY23" s="25"/>
      <c r="BZ23" s="25"/>
      <c r="CA23" s="25"/>
      <c r="CB23" s="25"/>
      <c r="CC23" s="25"/>
      <c r="CE23" s="63"/>
      <c r="CF23" s="145"/>
      <c r="CG23" s="25"/>
      <c r="CH23" s="25"/>
      <c r="CI23" s="25"/>
      <c r="CJ23" s="25"/>
      <c r="CK23" s="25"/>
      <c r="CL23" s="25"/>
      <c r="CM23" s="25"/>
      <c r="CN23" s="25"/>
      <c r="CO23" s="25"/>
      <c r="CP23" s="25"/>
      <c r="CQ23" s="25"/>
      <c r="CS23" s="63"/>
      <c r="CT23" s="14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row>
    <row r="24" spans="3:133" ht="15.5" thickTop="1" thickBot="1">
      <c r="C24" s="10" t="s">
        <v>670</v>
      </c>
      <c r="D24" s="10"/>
      <c r="E24" s="55">
        <f>E8+E12+E16</f>
        <v>4500.8100000000004</v>
      </c>
      <c r="F24" s="55">
        <f t="shared" ref="F24:P24" si="38">F8+F12+F16</f>
        <v>4356.1600000000008</v>
      </c>
      <c r="G24" s="55">
        <f t="shared" si="38"/>
        <v>4218.9199999999992</v>
      </c>
      <c r="H24" s="55">
        <f t="shared" si="38"/>
        <v>4188.6899999999996</v>
      </c>
      <c r="I24" s="55">
        <f t="shared" si="38"/>
        <v>4179.38</v>
      </c>
      <c r="J24" s="55">
        <f t="shared" si="38"/>
        <v>3972.7000000000012</v>
      </c>
      <c r="K24" s="55">
        <f t="shared" si="38"/>
        <v>4089.48</v>
      </c>
      <c r="L24" s="55">
        <f t="shared" si="38"/>
        <v>3981.5300000000007</v>
      </c>
      <c r="M24" s="55">
        <f t="shared" si="38"/>
        <v>4013.3800000000006</v>
      </c>
      <c r="N24" s="55">
        <f t="shared" si="38"/>
        <v>3971.76</v>
      </c>
      <c r="O24" s="55">
        <f t="shared" si="38"/>
        <v>4008.3199999999997</v>
      </c>
      <c r="P24" s="55">
        <f t="shared" si="38"/>
        <v>4030.0099999999998</v>
      </c>
      <c r="Q24" s="60">
        <f>Q8+Q12+Q16</f>
        <v>4124.9144383561652</v>
      </c>
      <c r="R24" s="55">
        <f>R8+R12+R16</f>
        <v>4017.4300000000007</v>
      </c>
      <c r="S24" s="55">
        <f t="shared" ref="S24:AC24" si="39">S8+S12+S16</f>
        <v>4127.9400000000005</v>
      </c>
      <c r="T24" s="55">
        <f t="shared" si="39"/>
        <v>4105.37</v>
      </c>
      <c r="U24" s="55">
        <f t="shared" si="39"/>
        <v>3938.4999999999991</v>
      </c>
      <c r="V24" s="55">
        <f t="shared" si="39"/>
        <v>4158.4799999999996</v>
      </c>
      <c r="W24" s="55">
        <f t="shared" si="39"/>
        <v>4318.46</v>
      </c>
      <c r="X24" s="55">
        <f t="shared" si="39"/>
        <v>4268.54</v>
      </c>
      <c r="Y24" s="55">
        <f t="shared" si="39"/>
        <v>4339.8</v>
      </c>
      <c r="Z24" s="55">
        <f t="shared" si="39"/>
        <v>4212.46</v>
      </c>
      <c r="AA24" s="55">
        <f t="shared" si="39"/>
        <v>4036.8900000000003</v>
      </c>
      <c r="AB24" s="55">
        <f t="shared" si="39"/>
        <v>3919.1500000000005</v>
      </c>
      <c r="AC24" s="55">
        <f t="shared" si="39"/>
        <v>4432.04</v>
      </c>
      <c r="AD24" s="60">
        <f>AD8+AD12+AD16</f>
        <v>4157.1355342465758</v>
      </c>
      <c r="AE24" s="55">
        <f>AE8+AE12+AE16</f>
        <v>4186.6899999999996</v>
      </c>
      <c r="AF24" s="55">
        <f t="shared" ref="AF24:AP24" si="40">AF8+AF12+AF16</f>
        <v>4119.3599999999997</v>
      </c>
      <c r="AG24" s="55">
        <f t="shared" si="40"/>
        <v>4174.0599999999995</v>
      </c>
      <c r="AH24" s="55">
        <f t="shared" si="40"/>
        <v>4121.8999999999996</v>
      </c>
      <c r="AI24" s="55">
        <f t="shared" si="40"/>
        <v>3927.4899999999989</v>
      </c>
      <c r="AJ24" s="55">
        <f t="shared" si="40"/>
        <v>3837.2400000000002</v>
      </c>
      <c r="AK24" s="55">
        <f t="shared" si="40"/>
        <v>3836.6</v>
      </c>
      <c r="AL24" s="55">
        <f t="shared" si="40"/>
        <v>3943.82</v>
      </c>
      <c r="AM24" s="55">
        <f t="shared" si="40"/>
        <v>4117.1900000000005</v>
      </c>
      <c r="AN24" s="55">
        <f t="shared" si="40"/>
        <v>3984.53</v>
      </c>
      <c r="AO24" s="55">
        <f t="shared" si="40"/>
        <v>3837.1299999999997</v>
      </c>
      <c r="AP24" s="55">
        <f t="shared" si="40"/>
        <v>3818.8900000000003</v>
      </c>
      <c r="AQ24" s="64">
        <f>AQ8+AQ12+AQ16</f>
        <v>3991.1790684931502</v>
      </c>
      <c r="AR24" s="55">
        <f>AR8+AR12+AR16</f>
        <v>9571.4</v>
      </c>
      <c r="AS24" s="55">
        <f t="shared" ref="AS24:BC24" si="41">AS8+AS12+AS16</f>
        <v>10369.89</v>
      </c>
      <c r="AT24" s="55">
        <f t="shared" si="41"/>
        <v>10308.380000000001</v>
      </c>
      <c r="AU24" s="55">
        <f t="shared" si="41"/>
        <v>9976.82</v>
      </c>
      <c r="AV24" s="55">
        <f t="shared" si="41"/>
        <v>9236.91</v>
      </c>
      <c r="AW24" s="55">
        <f t="shared" si="41"/>
        <v>8973.15</v>
      </c>
      <c r="AX24" s="55">
        <f t="shared" si="41"/>
        <v>9269.86</v>
      </c>
      <c r="AY24" s="55">
        <f t="shared" si="41"/>
        <v>9083.380000000001</v>
      </c>
      <c r="AZ24" s="55">
        <f t="shared" si="41"/>
        <v>9340.4399999999987</v>
      </c>
      <c r="BA24" s="55">
        <f t="shared" si="41"/>
        <v>9544.4599999999991</v>
      </c>
      <c r="BB24" s="55">
        <f t="shared" si="41"/>
        <v>9418.2199999999993</v>
      </c>
      <c r="BC24" s="55">
        <f t="shared" si="41"/>
        <v>9788.93</v>
      </c>
      <c r="BD24" s="64">
        <f>BD8+BD12+BD16</f>
        <v>9570.7339617486323</v>
      </c>
      <c r="BE24" s="55">
        <f>BE8+BE12+BE16</f>
        <v>9589.9700000000012</v>
      </c>
      <c r="BF24" s="55">
        <f t="shared" ref="BF24:BP24" si="42">BF8+BF12+BF16</f>
        <v>9619.44</v>
      </c>
      <c r="BG24" s="55">
        <f t="shared" si="42"/>
        <v>9527.51</v>
      </c>
      <c r="BH24" s="55">
        <f t="shared" si="42"/>
        <v>9501.83</v>
      </c>
      <c r="BI24" s="55">
        <f t="shared" si="42"/>
        <v>9763.4000000000015</v>
      </c>
      <c r="BJ24" s="55">
        <f t="shared" si="42"/>
        <v>9873.73</v>
      </c>
      <c r="BK24" s="55">
        <f t="shared" si="42"/>
        <v>9476.99</v>
      </c>
      <c r="BL24" s="55">
        <f t="shared" si="42"/>
        <v>9617.7900000000009</v>
      </c>
      <c r="BM24" s="55">
        <f t="shared" si="42"/>
        <v>9781.94</v>
      </c>
      <c r="BN24" s="55">
        <f t="shared" si="42"/>
        <v>9667.7799999999988</v>
      </c>
      <c r="BO24" s="55">
        <f t="shared" si="42"/>
        <v>9424.94</v>
      </c>
      <c r="BP24" s="55">
        <f t="shared" si="42"/>
        <v>11264.65</v>
      </c>
      <c r="BQ24" s="140">
        <f>BQ8+BQ12+BQ16</f>
        <v>9748.1104383561651</v>
      </c>
      <c r="BR24" s="143"/>
      <c r="BS24" s="55">
        <f>BS8+BS12+BS16</f>
        <v>12100.982299820967</v>
      </c>
      <c r="BT24" s="55">
        <f t="shared" ref="BT24:CD24" si="43">BT8+BT12+BT16</f>
        <v>12551.879069357356</v>
      </c>
      <c r="BU24" s="55">
        <f t="shared" si="43"/>
        <v>12500.576982901081</v>
      </c>
      <c r="BV24" s="55">
        <v>12496.666416056096</v>
      </c>
      <c r="BW24" s="55">
        <f t="shared" si="43"/>
        <v>12130.366146116954</v>
      </c>
      <c r="BX24" s="55">
        <f t="shared" si="43"/>
        <v>12721.733975547586</v>
      </c>
      <c r="BY24" s="55">
        <f t="shared" si="43"/>
        <v>13081.777146136308</v>
      </c>
      <c r="BZ24" s="55">
        <f t="shared" si="43"/>
        <v>13020.271665022099</v>
      </c>
      <c r="CA24" s="55">
        <f t="shared" si="43"/>
        <v>12804.738451414454</v>
      </c>
      <c r="CB24" s="55">
        <v>13401.499096647229</v>
      </c>
      <c r="CC24" s="55">
        <f t="shared" si="43"/>
        <v>13547.630638642078</v>
      </c>
      <c r="CD24" s="55">
        <f t="shared" si="43"/>
        <v>13246.866064335023</v>
      </c>
      <c r="CE24" s="64">
        <f>CE8+CE12+CE16</f>
        <v>12801.447177595021</v>
      </c>
      <c r="CF24" s="143"/>
      <c r="CG24" s="55">
        <f>CG8+CG12+CG16</f>
        <v>13379.167389066775</v>
      </c>
      <c r="CH24" s="55">
        <f>CH8+CH12+CH16</f>
        <v>13129.946830288296</v>
      </c>
      <c r="CI24" s="55">
        <f>CI8+CI12+CI16+CI20</f>
        <v>15090.305496039058</v>
      </c>
      <c r="CJ24" s="55">
        <f t="shared" ref="CJ24:CS24" si="44">CJ8+CJ12+CJ16+CJ20</f>
        <v>15521.799233742866</v>
      </c>
      <c r="CK24" s="55">
        <f t="shared" si="44"/>
        <v>15140.849717649371</v>
      </c>
      <c r="CL24" s="55">
        <f t="shared" si="44"/>
        <v>16058.951673812186</v>
      </c>
      <c r="CM24" s="55">
        <f t="shared" si="44"/>
        <v>17322.022826982989</v>
      </c>
      <c r="CN24" s="55">
        <f t="shared" si="44"/>
        <v>16595.115503912912</v>
      </c>
      <c r="CO24" s="55">
        <f t="shared" si="44"/>
        <v>15901.790550721465</v>
      </c>
      <c r="CP24" s="55">
        <f t="shared" si="44"/>
        <v>16255.278875260336</v>
      </c>
      <c r="CQ24" s="55">
        <f t="shared" si="44"/>
        <v>14968.556542728082</v>
      </c>
      <c r="CR24" s="55">
        <f t="shared" si="44"/>
        <v>12522.131101717016</v>
      </c>
      <c r="CS24" s="64">
        <f t="shared" si="44"/>
        <v>15168.828628788198</v>
      </c>
      <c r="CT24" s="143"/>
      <c r="CU24" s="55">
        <f t="shared" ref="CU24:CW25" si="45">CU8+CU12+CU16+CU20</f>
        <v>16029.038209447917</v>
      </c>
      <c r="CV24" s="55">
        <f t="shared" si="45"/>
        <v>15283.812782025101</v>
      </c>
      <c r="CW24" s="55">
        <f t="shared" si="45"/>
        <v>14822.71606405991</v>
      </c>
      <c r="CX24" s="55">
        <f t="shared" ref="CX24:DA25" si="46">CX8+CX12+CX16+CX20</f>
        <v>14974.410341682844</v>
      </c>
      <c r="CY24" s="55">
        <f t="shared" si="46"/>
        <v>14860.914122788985</v>
      </c>
      <c r="CZ24" s="55">
        <f t="shared" si="46"/>
        <v>15758.583507223799</v>
      </c>
      <c r="DA24" s="55">
        <f t="shared" si="46"/>
        <v>15391.684862096621</v>
      </c>
      <c r="DB24" s="55">
        <f t="shared" ref="DB24:DC24" si="47">DB8+DB12+DB16+DB20</f>
        <v>14814.675318920481</v>
      </c>
      <c r="DC24" s="55">
        <f t="shared" si="47"/>
        <v>15286.704186661718</v>
      </c>
      <c r="DD24" s="55">
        <f t="shared" ref="DD24:DE25" si="48">DD8+DD12+DD16+DD20</f>
        <v>15576.126847588257</v>
      </c>
      <c r="DE24" s="55">
        <f t="shared" si="48"/>
        <v>15388.187253532773</v>
      </c>
      <c r="DF24" s="55">
        <v>15666.422550706502</v>
      </c>
      <c r="DG24" s="55">
        <v>15320.972804906096</v>
      </c>
      <c r="DH24" s="55">
        <v>0</v>
      </c>
      <c r="DI24" s="55">
        <v>16190.217748034263</v>
      </c>
      <c r="DJ24" s="55">
        <v>16256.38905903219</v>
      </c>
      <c r="DK24" s="55">
        <f t="shared" ref="DK24:DL25" si="49">DK8+DK12+DK16+DK20</f>
        <v>16486.822399624543</v>
      </c>
      <c r="DL24" s="55">
        <f t="shared" si="49"/>
        <v>16610.49547526395</v>
      </c>
      <c r="DM24" s="55">
        <f>SUM(DM20,DM16,DM12,DM8)</f>
        <v>16440.435829374444</v>
      </c>
      <c r="DN24" s="55">
        <f t="shared" ref="DN24:DO24" si="50">SUM(DN20,DN16,DN12,DN8)</f>
        <v>15964.115835101909</v>
      </c>
      <c r="DO24" s="55">
        <f t="shared" si="50"/>
        <v>15944.365938380555</v>
      </c>
      <c r="DP24" s="55">
        <f t="shared" ref="DP24" si="51">SUM(DP20,DP16,DP12,DP8)</f>
        <v>15636.599725909273</v>
      </c>
      <c r="DQ24" s="55">
        <f t="shared" ref="DQ24:DR24" si="52">SUM(DQ20,DQ16,DQ12,DQ8)</f>
        <v>15177.306788974929</v>
      </c>
      <c r="DR24" s="55">
        <f t="shared" si="52"/>
        <v>14370.718578217653</v>
      </c>
      <c r="DS24" s="55">
        <v>14505.171023059473</v>
      </c>
      <c r="DT24" s="55">
        <v>14307.270228966656</v>
      </c>
      <c r="DU24" s="55">
        <v>15653.591537612709</v>
      </c>
      <c r="DV24" s="55">
        <v>13703</v>
      </c>
      <c r="DW24" s="55">
        <v>13752.064799018513</v>
      </c>
      <c r="DX24" s="55">
        <f>DX20+DX16+DX12+DX8</f>
        <v>13922.643277842271</v>
      </c>
      <c r="DY24" s="55">
        <f t="shared" ref="DY24:EA25" si="53">DY20+DY16+DY12+DY8</f>
        <v>13498.959688626255</v>
      </c>
      <c r="DZ24" s="55">
        <f t="shared" si="53"/>
        <v>13507.466072392246</v>
      </c>
      <c r="EA24" s="55">
        <f t="shared" si="53"/>
        <v>14021.140373303213</v>
      </c>
      <c r="EB24" s="55">
        <f t="shared" ref="EB24:EC25" si="54">EB20+EB16+EB12+EB8</f>
        <v>14074.223759004468</v>
      </c>
      <c r="EC24" s="55">
        <f t="shared" si="54"/>
        <v>14309.298205195308</v>
      </c>
    </row>
    <row r="25" spans="3:133" ht="15.5" thickTop="1" thickBot="1">
      <c r="C25" s="10" t="s">
        <v>671</v>
      </c>
      <c r="D25" s="10"/>
      <c r="E25" s="57">
        <f>E9+E13+E17</f>
        <v>494.2600000000001</v>
      </c>
      <c r="F25" s="57">
        <f t="shared" ref="F25:P25" si="55">F9+F13+F17</f>
        <v>448.7399999999999</v>
      </c>
      <c r="G25" s="57">
        <f t="shared" si="55"/>
        <v>420.93999999999971</v>
      </c>
      <c r="H25" s="57">
        <f t="shared" si="55"/>
        <v>429.35000000000014</v>
      </c>
      <c r="I25" s="57">
        <f t="shared" si="55"/>
        <v>406.46999999999997</v>
      </c>
      <c r="J25" s="57">
        <f t="shared" si="55"/>
        <v>402.18000000000006</v>
      </c>
      <c r="K25" s="57">
        <f t="shared" si="55"/>
        <v>457.22999999999996</v>
      </c>
      <c r="L25" s="57">
        <f t="shared" si="55"/>
        <v>429.06000000000023</v>
      </c>
      <c r="M25" s="57">
        <f t="shared" si="55"/>
        <v>420.98999999999978</v>
      </c>
      <c r="N25" s="57">
        <f t="shared" si="55"/>
        <v>404.19000000000011</v>
      </c>
      <c r="O25" s="57">
        <f t="shared" si="55"/>
        <v>442.38999999999987</v>
      </c>
      <c r="P25" s="57">
        <f t="shared" si="55"/>
        <v>475.35999999999996</v>
      </c>
      <c r="Q25" s="61">
        <f>Q9+Q13+Q17</f>
        <v>435.95843835616432</v>
      </c>
      <c r="R25" s="57">
        <f>R9+R13+R17</f>
        <v>477.63999999999982</v>
      </c>
      <c r="S25" s="57">
        <f t="shared" ref="S25:AC25" si="56">S9+S13+S17</f>
        <v>498.27000000000021</v>
      </c>
      <c r="T25" s="57">
        <f t="shared" si="56"/>
        <v>500.16000000000008</v>
      </c>
      <c r="U25" s="57">
        <f t="shared" si="56"/>
        <v>458.09</v>
      </c>
      <c r="V25" s="57">
        <f t="shared" si="56"/>
        <v>554.04000000000008</v>
      </c>
      <c r="W25" s="57">
        <f t="shared" si="56"/>
        <v>542.06999999999994</v>
      </c>
      <c r="X25" s="57">
        <f t="shared" si="56"/>
        <v>499.08</v>
      </c>
      <c r="Y25" s="57">
        <f t="shared" si="56"/>
        <v>506.87999999999994</v>
      </c>
      <c r="Z25" s="57">
        <f t="shared" si="56"/>
        <v>473.33</v>
      </c>
      <c r="AA25" s="57">
        <f t="shared" si="56"/>
        <v>412.53999999999996</v>
      </c>
      <c r="AB25" s="57">
        <f t="shared" si="56"/>
        <v>450.25999999999993</v>
      </c>
      <c r="AC25" s="57">
        <f t="shared" si="56"/>
        <v>493.15000000000003</v>
      </c>
      <c r="AD25" s="61">
        <f>AD9+AD13+AD17</f>
        <v>488.80068493150679</v>
      </c>
      <c r="AE25" s="57">
        <f>AE9+AE13+AE17</f>
        <v>468.01999999999981</v>
      </c>
      <c r="AF25" s="57">
        <f t="shared" ref="AF25:AP25" si="57">AF9+AF13+AF17</f>
        <v>475.34000000000015</v>
      </c>
      <c r="AG25" s="57">
        <f t="shared" si="57"/>
        <v>495.92999999999995</v>
      </c>
      <c r="AH25" s="57">
        <f t="shared" si="57"/>
        <v>491.40000000000015</v>
      </c>
      <c r="AI25" s="57">
        <f t="shared" si="57"/>
        <v>497.05000000000007</v>
      </c>
      <c r="AJ25" s="57">
        <f t="shared" si="57"/>
        <v>496.03000000000014</v>
      </c>
      <c r="AK25" s="57">
        <f t="shared" si="57"/>
        <v>436.48999999999995</v>
      </c>
      <c r="AL25" s="57">
        <f t="shared" si="57"/>
        <v>459.70000000000005</v>
      </c>
      <c r="AM25" s="57">
        <f t="shared" si="57"/>
        <v>482.95999999999992</v>
      </c>
      <c r="AN25" s="57">
        <f t="shared" si="57"/>
        <v>443.81000000000012</v>
      </c>
      <c r="AO25" s="57">
        <f t="shared" si="57"/>
        <v>487.73000000000008</v>
      </c>
      <c r="AP25" s="57">
        <f t="shared" si="57"/>
        <v>474.54999999999984</v>
      </c>
      <c r="AQ25" s="61">
        <f>AQ9+AQ13+AQ17</f>
        <v>475.60320547945207</v>
      </c>
      <c r="AR25" s="57">
        <f>AR9+AR13+AR17</f>
        <v>1878.93</v>
      </c>
      <c r="AS25" s="57">
        <f t="shared" ref="AS25:BC25" si="58">AS9+AS13+AS17</f>
        <v>1432.89</v>
      </c>
      <c r="AT25" s="57">
        <f t="shared" si="58"/>
        <v>1404.09</v>
      </c>
      <c r="AU25" s="57">
        <f t="shared" si="58"/>
        <v>1527.5</v>
      </c>
      <c r="AV25" s="57">
        <f t="shared" si="58"/>
        <v>1433.1999999999998</v>
      </c>
      <c r="AW25" s="57">
        <f t="shared" si="58"/>
        <v>1348.4</v>
      </c>
      <c r="AX25" s="57">
        <f t="shared" si="58"/>
        <v>1447.62</v>
      </c>
      <c r="AY25" s="57">
        <f t="shared" si="58"/>
        <v>1616.5800000000002</v>
      </c>
      <c r="AZ25" s="57">
        <f t="shared" si="58"/>
        <v>1686.88</v>
      </c>
      <c r="BA25" s="57">
        <f t="shared" si="58"/>
        <v>1676.0500000000002</v>
      </c>
      <c r="BB25" s="57">
        <f t="shared" si="58"/>
        <v>1690</v>
      </c>
      <c r="BC25" s="57">
        <f t="shared" si="58"/>
        <v>1751.5099999999998</v>
      </c>
      <c r="BD25" s="61">
        <f>BD9+BD13+BD17</f>
        <v>1575.3677322404371</v>
      </c>
      <c r="BE25" s="57">
        <f>BE9+BE13+BE17</f>
        <v>1982.73</v>
      </c>
      <c r="BF25" s="57">
        <f t="shared" ref="BF25:BP25" si="59">BF9+BF13+BF17</f>
        <v>2015.3</v>
      </c>
      <c r="BG25" s="57">
        <f t="shared" si="59"/>
        <v>2059.63</v>
      </c>
      <c r="BH25" s="57">
        <f t="shared" si="59"/>
        <v>2172.19</v>
      </c>
      <c r="BI25" s="57">
        <f t="shared" si="59"/>
        <v>2310.5100000000002</v>
      </c>
      <c r="BJ25" s="57">
        <f t="shared" si="59"/>
        <v>2553.61</v>
      </c>
      <c r="BK25" s="57">
        <f t="shared" si="59"/>
        <v>2564.42</v>
      </c>
      <c r="BL25" s="57">
        <f t="shared" si="59"/>
        <v>2649.1400000000003</v>
      </c>
      <c r="BM25" s="57">
        <f t="shared" si="59"/>
        <v>2652.4400000000005</v>
      </c>
      <c r="BN25" s="57">
        <f t="shared" si="59"/>
        <v>2484.2799999999997</v>
      </c>
      <c r="BO25" s="57">
        <f t="shared" si="59"/>
        <v>2854.55</v>
      </c>
      <c r="BP25" s="57">
        <f t="shared" si="59"/>
        <v>5873.05</v>
      </c>
      <c r="BQ25" s="61">
        <f>BQ9+BQ13+BQ17</f>
        <v>2642.7470136986299</v>
      </c>
      <c r="BR25" s="143"/>
      <c r="BS25" s="57">
        <f>BS9+BS13+BS17</f>
        <v>6773.65</v>
      </c>
      <c r="BT25" s="57">
        <f t="shared" ref="BT25:CD25" si="60">BT9+BT13+BT17</f>
        <v>7171.9681004862159</v>
      </c>
      <c r="BU25" s="57">
        <f t="shared" si="60"/>
        <v>7290.9895867139512</v>
      </c>
      <c r="BV25" s="57">
        <v>7391.7286754772485</v>
      </c>
      <c r="BW25" s="57">
        <f t="shared" si="60"/>
        <v>8158.842784328891</v>
      </c>
      <c r="BX25" s="57">
        <f t="shared" si="60"/>
        <v>8693.5768398434157</v>
      </c>
      <c r="BY25" s="57">
        <f t="shared" si="60"/>
        <v>8769.8189569054739</v>
      </c>
      <c r="BZ25" s="57">
        <f t="shared" si="60"/>
        <v>9124.5574487703161</v>
      </c>
      <c r="CA25" s="57">
        <f t="shared" si="60"/>
        <v>9335.5374724986868</v>
      </c>
      <c r="CB25" s="57">
        <v>9222.8323090286322</v>
      </c>
      <c r="CC25" s="57">
        <f t="shared" si="60"/>
        <v>9644.47155643929</v>
      </c>
      <c r="CD25" s="57">
        <f t="shared" si="60"/>
        <v>10157.846045249731</v>
      </c>
      <c r="CE25" s="61">
        <f>CE9+CE13+CE17</f>
        <v>8485.5594361706299</v>
      </c>
      <c r="CF25" s="143"/>
      <c r="CG25" s="57">
        <f>CG9+CG13+CG17</f>
        <v>10295.176991340151</v>
      </c>
      <c r="CH25" s="57">
        <f>CH9+CH13+CH17</f>
        <v>10245.938116696507</v>
      </c>
      <c r="CI25" s="57">
        <f>CI9+CI13+CI17+CI21</f>
        <v>11004.797843953847</v>
      </c>
      <c r="CJ25" s="57">
        <f t="shared" ref="CJ25:CS25" si="61">CJ9+CJ13+CJ17+CJ21</f>
        <v>10580.184250339546</v>
      </c>
      <c r="CK25" s="57">
        <f t="shared" si="61"/>
        <v>10325.478091472607</v>
      </c>
      <c r="CL25" s="57">
        <f t="shared" si="61"/>
        <v>10527.475455720574</v>
      </c>
      <c r="CM25" s="57">
        <f t="shared" si="61"/>
        <v>11152.269442553088</v>
      </c>
      <c r="CN25" s="57">
        <f t="shared" si="61"/>
        <v>11616.640327222905</v>
      </c>
      <c r="CO25" s="57">
        <f t="shared" si="61"/>
        <v>11259.756546490591</v>
      </c>
      <c r="CP25" s="57">
        <f t="shared" si="61"/>
        <v>11059.943330424043</v>
      </c>
      <c r="CQ25" s="57">
        <f t="shared" si="61"/>
        <v>10918.949970248503</v>
      </c>
      <c r="CR25" s="57">
        <f t="shared" si="61"/>
        <v>10463.069903886595</v>
      </c>
      <c r="CS25" s="61">
        <f t="shared" si="61"/>
        <v>10791.550432350492</v>
      </c>
      <c r="CT25" s="143"/>
      <c r="CU25" s="57">
        <f t="shared" si="45"/>
        <v>11207.287028486424</v>
      </c>
      <c r="CV25" s="57">
        <f t="shared" si="45"/>
        <v>10971.280788190759</v>
      </c>
      <c r="CW25" s="57">
        <f t="shared" si="45"/>
        <v>10822.72712462892</v>
      </c>
      <c r="CX25" s="57">
        <f t="shared" ref="CX25:CY25" si="62">CX9+CX13+CX17+CX21</f>
        <v>10901.646356031843</v>
      </c>
      <c r="CY25" s="57">
        <f t="shared" si="62"/>
        <v>11157.690989781597</v>
      </c>
      <c r="CZ25" s="57">
        <f t="shared" si="46"/>
        <v>11171.651699221211</v>
      </c>
      <c r="DA25" s="57">
        <f t="shared" si="46"/>
        <v>11491.076671181658</v>
      </c>
      <c r="DB25" s="57">
        <f t="shared" ref="DB25:DC25" si="63">DB9+DB13+DB17+DB21</f>
        <v>10873.159655919479</v>
      </c>
      <c r="DC25" s="57">
        <f t="shared" si="63"/>
        <v>11263.545970430832</v>
      </c>
      <c r="DD25" s="57">
        <f t="shared" ref="DD25" si="64">DD9+DD13+DD17+DD21</f>
        <v>11219.941961263154</v>
      </c>
      <c r="DE25" s="57">
        <f t="shared" si="48"/>
        <v>10732.9540427516</v>
      </c>
      <c r="DF25" s="57">
        <v>10312.027159940049</v>
      </c>
      <c r="DG25" s="57">
        <v>11010.552768409389</v>
      </c>
      <c r="DH25" s="57">
        <v>0</v>
      </c>
      <c r="DI25" s="57">
        <v>10593.979332239889</v>
      </c>
      <c r="DJ25" s="57">
        <v>11033.054107668164</v>
      </c>
      <c r="DK25" s="57">
        <f t="shared" si="49"/>
        <v>11227.740037002033</v>
      </c>
      <c r="DL25" s="57">
        <f t="shared" si="49"/>
        <v>11235.029938038298</v>
      </c>
      <c r="DM25" s="57">
        <f>SUM(DM21,DM17,DM13,DM9)</f>
        <v>10937.216326499642</v>
      </c>
      <c r="DN25" s="57">
        <f t="shared" ref="DN25:DO25" si="65">SUM(DN21,DN17,DN13,DN9)</f>
        <v>10912.052203675605</v>
      </c>
      <c r="DO25" s="57">
        <f t="shared" si="65"/>
        <v>10917.592215951776</v>
      </c>
      <c r="DP25" s="57">
        <f t="shared" ref="DP25" si="66">SUM(DP21,DP17,DP13,DP9)</f>
        <v>10798.384141477709</v>
      </c>
      <c r="DQ25" s="57">
        <f t="shared" ref="DQ25:DR25" si="67">SUM(DQ21,DQ17,DQ13,DQ9)</f>
        <v>10789.687253235899</v>
      </c>
      <c r="DR25" s="57">
        <f t="shared" si="67"/>
        <v>10511.492554328464</v>
      </c>
      <c r="DS25" s="57">
        <v>10633.424239439431</v>
      </c>
      <c r="DT25" s="57">
        <v>10664.178478745516</v>
      </c>
      <c r="DU25" s="57">
        <v>10852.601095123237</v>
      </c>
      <c r="DV25" s="57">
        <v>10400</v>
      </c>
      <c r="DW25" s="57">
        <v>10604.969631707201</v>
      </c>
      <c r="DX25" s="55">
        <f>DX21+DX17+DX13+DX9</f>
        <v>10716.197695251956</v>
      </c>
      <c r="DY25" s="55">
        <f t="shared" si="53"/>
        <v>10854.102854273642</v>
      </c>
      <c r="DZ25" s="55">
        <f t="shared" si="53"/>
        <v>10379.944360951955</v>
      </c>
      <c r="EA25" s="55">
        <f t="shared" si="53"/>
        <v>10047.894509979636</v>
      </c>
      <c r="EB25" s="55">
        <f t="shared" ref="EB25" si="68">EB21+EB17+EB13+EB9</f>
        <v>9655.7338447011043</v>
      </c>
      <c r="EC25" s="55">
        <f t="shared" si="54"/>
        <v>9487.5499847619794</v>
      </c>
    </row>
    <row r="26" spans="3:133" ht="15" thickBot="1">
      <c r="C26" s="28" t="s">
        <v>92</v>
      </c>
      <c r="D26" s="28"/>
      <c r="E26" s="58">
        <f t="shared" ref="E26:Q26" si="69">SUM(E24:E25)</f>
        <v>4995.0700000000006</v>
      </c>
      <c r="F26" s="58">
        <f t="shared" si="69"/>
        <v>4804.9000000000005</v>
      </c>
      <c r="G26" s="58">
        <f t="shared" si="69"/>
        <v>4639.8599999999988</v>
      </c>
      <c r="H26" s="58">
        <f t="shared" si="69"/>
        <v>4618.04</v>
      </c>
      <c r="I26" s="58">
        <f t="shared" si="69"/>
        <v>4585.8500000000004</v>
      </c>
      <c r="J26" s="58">
        <f t="shared" si="69"/>
        <v>4374.880000000001</v>
      </c>
      <c r="K26" s="58">
        <f t="shared" si="69"/>
        <v>4546.71</v>
      </c>
      <c r="L26" s="58">
        <f t="shared" si="69"/>
        <v>4410.5900000000011</v>
      </c>
      <c r="M26" s="58">
        <f t="shared" si="69"/>
        <v>4434.3700000000008</v>
      </c>
      <c r="N26" s="58">
        <f t="shared" si="69"/>
        <v>4375.9500000000007</v>
      </c>
      <c r="O26" s="58">
        <f t="shared" si="69"/>
        <v>4450.7099999999991</v>
      </c>
      <c r="P26" s="58">
        <f t="shared" si="69"/>
        <v>4505.37</v>
      </c>
      <c r="Q26" s="62">
        <f t="shared" si="69"/>
        <v>4560.8728767123293</v>
      </c>
      <c r="R26" s="58">
        <f t="shared" ref="R26:AD26" si="70">SUM(R24:R25)</f>
        <v>4495.0700000000006</v>
      </c>
      <c r="S26" s="58">
        <f t="shared" si="70"/>
        <v>4626.2100000000009</v>
      </c>
      <c r="T26" s="58">
        <f t="shared" si="70"/>
        <v>4605.53</v>
      </c>
      <c r="U26" s="58">
        <f t="shared" si="70"/>
        <v>4396.5899999999992</v>
      </c>
      <c r="V26" s="58">
        <f t="shared" si="70"/>
        <v>4712.5199999999995</v>
      </c>
      <c r="W26" s="58">
        <f t="shared" si="70"/>
        <v>4860.53</v>
      </c>
      <c r="X26" s="58">
        <f t="shared" si="70"/>
        <v>4767.62</v>
      </c>
      <c r="Y26" s="58">
        <f t="shared" si="70"/>
        <v>4846.68</v>
      </c>
      <c r="Z26" s="58">
        <f t="shared" si="70"/>
        <v>4685.79</v>
      </c>
      <c r="AA26" s="58">
        <f t="shared" si="70"/>
        <v>4449.43</v>
      </c>
      <c r="AB26" s="58">
        <f t="shared" si="70"/>
        <v>4369.4100000000008</v>
      </c>
      <c r="AC26" s="58">
        <f t="shared" si="70"/>
        <v>4925.1899999999996</v>
      </c>
      <c r="AD26" s="62">
        <f t="shared" si="70"/>
        <v>4645.9362191780829</v>
      </c>
      <c r="AE26" s="58">
        <f t="shared" ref="AE26:BP26" si="71">SUM(AE24:AE25)</f>
        <v>4654.7099999999991</v>
      </c>
      <c r="AF26" s="58">
        <f t="shared" si="71"/>
        <v>4594.7</v>
      </c>
      <c r="AG26" s="58">
        <f t="shared" si="71"/>
        <v>4669.99</v>
      </c>
      <c r="AH26" s="58">
        <f t="shared" si="71"/>
        <v>4613.3</v>
      </c>
      <c r="AI26" s="58">
        <f t="shared" si="71"/>
        <v>4424.5399999999991</v>
      </c>
      <c r="AJ26" s="58">
        <f t="shared" si="71"/>
        <v>4333.2700000000004</v>
      </c>
      <c r="AK26" s="58">
        <f t="shared" si="71"/>
        <v>4273.09</v>
      </c>
      <c r="AL26" s="58">
        <f t="shared" si="71"/>
        <v>4403.5200000000004</v>
      </c>
      <c r="AM26" s="58">
        <f t="shared" si="71"/>
        <v>4600.1500000000005</v>
      </c>
      <c r="AN26" s="58">
        <f t="shared" si="71"/>
        <v>4428.34</v>
      </c>
      <c r="AO26" s="58">
        <f t="shared" si="71"/>
        <v>4324.8599999999997</v>
      </c>
      <c r="AP26" s="58">
        <f t="shared" si="71"/>
        <v>4293.4400000000005</v>
      </c>
      <c r="AQ26" s="62">
        <f t="shared" si="71"/>
        <v>4466.7822739726025</v>
      </c>
      <c r="AR26" s="58">
        <f t="shared" ref="AR26:BD26" si="72">SUM(AR24:AR25)</f>
        <v>11450.33</v>
      </c>
      <c r="AS26" s="58">
        <f t="shared" si="72"/>
        <v>11802.779999999999</v>
      </c>
      <c r="AT26" s="58">
        <f t="shared" si="72"/>
        <v>11712.470000000001</v>
      </c>
      <c r="AU26" s="58">
        <f t="shared" si="72"/>
        <v>11504.32</v>
      </c>
      <c r="AV26" s="58">
        <f t="shared" si="72"/>
        <v>10670.11</v>
      </c>
      <c r="AW26" s="58">
        <f t="shared" si="72"/>
        <v>10321.549999999999</v>
      </c>
      <c r="AX26" s="58">
        <f t="shared" si="72"/>
        <v>10717.48</v>
      </c>
      <c r="AY26" s="58">
        <f t="shared" si="72"/>
        <v>10699.960000000001</v>
      </c>
      <c r="AZ26" s="58">
        <f t="shared" si="72"/>
        <v>11027.32</v>
      </c>
      <c r="BA26" s="58">
        <f t="shared" si="72"/>
        <v>11220.509999999998</v>
      </c>
      <c r="BB26" s="58">
        <f t="shared" si="72"/>
        <v>11108.22</v>
      </c>
      <c r="BC26" s="58">
        <f t="shared" si="72"/>
        <v>11540.44</v>
      </c>
      <c r="BD26" s="62">
        <f t="shared" si="72"/>
        <v>11146.101693989069</v>
      </c>
      <c r="BE26" s="58">
        <f t="shared" si="71"/>
        <v>11572.7</v>
      </c>
      <c r="BF26" s="58">
        <f t="shared" si="71"/>
        <v>11634.74</v>
      </c>
      <c r="BG26" s="58">
        <f t="shared" si="71"/>
        <v>11587.14</v>
      </c>
      <c r="BH26" s="58">
        <f t="shared" si="71"/>
        <v>11674.02</v>
      </c>
      <c r="BI26" s="58">
        <f t="shared" si="71"/>
        <v>12073.910000000002</v>
      </c>
      <c r="BJ26" s="58">
        <f t="shared" si="71"/>
        <v>12427.34</v>
      </c>
      <c r="BK26" s="58">
        <f t="shared" si="71"/>
        <v>12041.41</v>
      </c>
      <c r="BL26" s="58">
        <f t="shared" si="71"/>
        <v>12266.93</v>
      </c>
      <c r="BM26" s="58">
        <f t="shared" si="71"/>
        <v>12434.380000000001</v>
      </c>
      <c r="BN26" s="58">
        <f t="shared" si="71"/>
        <v>12152.059999999998</v>
      </c>
      <c r="BO26" s="58">
        <f t="shared" si="71"/>
        <v>12279.490000000002</v>
      </c>
      <c r="BP26" s="58">
        <f t="shared" si="71"/>
        <v>17137.7</v>
      </c>
      <c r="BQ26" s="62">
        <f>SUM(BQ24:BQ25)</f>
        <v>12390.857452054795</v>
      </c>
      <c r="BR26" s="144"/>
      <c r="BS26" s="62">
        <f t="shared" ref="BS26:CD26" si="73">SUM(BS24:BS25)</f>
        <v>18874.632299820965</v>
      </c>
      <c r="BT26" s="62">
        <f t="shared" si="73"/>
        <v>19723.847169843571</v>
      </c>
      <c r="BU26" s="62">
        <f t="shared" si="73"/>
        <v>19791.566569615032</v>
      </c>
      <c r="BV26" s="62">
        <v>19888.395091533344</v>
      </c>
      <c r="BW26" s="62">
        <f t="shared" si="73"/>
        <v>20289.208930445846</v>
      </c>
      <c r="BX26" s="62">
        <f t="shared" si="73"/>
        <v>21415.310815391</v>
      </c>
      <c r="BY26" s="62">
        <f>SUM(BY24:BY25)</f>
        <v>21851.596103041782</v>
      </c>
      <c r="BZ26" s="62">
        <f>SUM(BZ24:BZ25)</f>
        <v>22144.829113792417</v>
      </c>
      <c r="CA26" s="62">
        <f>SUM(CA24:CA25)</f>
        <v>22140.275923913141</v>
      </c>
      <c r="CB26" s="62">
        <v>22624.331405675861</v>
      </c>
      <c r="CC26" s="62">
        <f t="shared" si="73"/>
        <v>23192.102195081367</v>
      </c>
      <c r="CD26" s="62">
        <f t="shared" si="73"/>
        <v>23404.712109584754</v>
      </c>
      <c r="CE26" s="62">
        <f>SUM(CE24:CE25)</f>
        <v>21287.00661376565</v>
      </c>
      <c r="CF26" s="144"/>
      <c r="CG26" s="62">
        <f>SUM(CG24:CG25)</f>
        <v>23674.344380406925</v>
      </c>
      <c r="CH26" s="62">
        <f>SUM(CH24:CH25)</f>
        <v>23375.884946984803</v>
      </c>
      <c r="CI26" s="62">
        <f>SUM(CI24:CI25)</f>
        <v>26095.103339992907</v>
      </c>
      <c r="CJ26" s="62">
        <f t="shared" ref="CJ26:CS26" si="74">SUM(CJ24:CJ25)</f>
        <v>26101.983484082411</v>
      </c>
      <c r="CK26" s="62">
        <f t="shared" si="74"/>
        <v>25466.327809121976</v>
      </c>
      <c r="CL26" s="62">
        <f t="shared" si="74"/>
        <v>26586.42712953276</v>
      </c>
      <c r="CM26" s="62">
        <f t="shared" si="74"/>
        <v>28474.292269536076</v>
      </c>
      <c r="CN26" s="62">
        <f t="shared" si="74"/>
        <v>28211.755831135815</v>
      </c>
      <c r="CO26" s="62">
        <f t="shared" si="74"/>
        <v>27161.547097212057</v>
      </c>
      <c r="CP26" s="62">
        <f t="shared" si="74"/>
        <v>27315.222205684378</v>
      </c>
      <c r="CQ26" s="62">
        <f t="shared" si="74"/>
        <v>25887.506512976586</v>
      </c>
      <c r="CR26" s="62">
        <f t="shared" si="74"/>
        <v>22985.201005603609</v>
      </c>
      <c r="CS26" s="62">
        <f t="shared" si="74"/>
        <v>25960.37906113869</v>
      </c>
      <c r="CT26" s="144"/>
      <c r="CU26" s="62">
        <f>SUM(CU24:CU25)</f>
        <v>27236.325237934339</v>
      </c>
      <c r="CV26" s="62">
        <f>SUM(CV24:CV25)</f>
        <v>26255.09357021586</v>
      </c>
      <c r="CW26" s="62">
        <f>SUM(CW24:CW25)</f>
        <v>25645.443188688831</v>
      </c>
      <c r="CX26" s="62">
        <f>SUM(CX24:CX25)</f>
        <v>25876.056697714688</v>
      </c>
      <c r="CY26" s="62">
        <f t="shared" ref="CY26:DE26" si="75">SUM(CY24:CY25)</f>
        <v>26018.605112570582</v>
      </c>
      <c r="CZ26" s="62">
        <f t="shared" si="75"/>
        <v>26930.23520644501</v>
      </c>
      <c r="DA26" s="62">
        <f t="shared" si="75"/>
        <v>26882.761533278281</v>
      </c>
      <c r="DB26" s="62">
        <f t="shared" ref="DB26:DC26" si="76">SUM(DB24:DB25)</f>
        <v>25687.83497483996</v>
      </c>
      <c r="DC26" s="62">
        <f t="shared" si="76"/>
        <v>26550.250157092552</v>
      </c>
      <c r="DD26" s="62">
        <f t="shared" si="75"/>
        <v>26796.068808851411</v>
      </c>
      <c r="DE26" s="62">
        <f t="shared" si="75"/>
        <v>26121.141296284375</v>
      </c>
      <c r="DF26" s="62">
        <v>25978.44971064655</v>
      </c>
      <c r="DG26" s="62">
        <v>26331.525573315485</v>
      </c>
      <c r="DH26" s="62">
        <v>0</v>
      </c>
      <c r="DI26" s="62">
        <v>26784.197080274153</v>
      </c>
      <c r="DJ26" s="62">
        <v>27289.443166700352</v>
      </c>
      <c r="DK26" s="62">
        <f>SUM(DK24:DK25)</f>
        <v>27714.562436626577</v>
      </c>
      <c r="DL26" s="62">
        <f>SUM(DL24:DL25)</f>
        <v>27845.525413302246</v>
      </c>
      <c r="DM26" s="62">
        <f>SUM(DM24:DM25)</f>
        <v>27377.652155874086</v>
      </c>
      <c r="DN26" s="62">
        <f t="shared" ref="DN26:DO26" si="77">SUM(DN24:DN25)</f>
        <v>26876.168038777512</v>
      </c>
      <c r="DO26" s="62">
        <f t="shared" si="77"/>
        <v>26861.958154332329</v>
      </c>
      <c r="DP26" s="62">
        <f t="shared" ref="DP26" si="78">SUM(DP24:DP25)</f>
        <v>26434.983867386982</v>
      </c>
      <c r="DQ26" s="62">
        <f t="shared" ref="DQ26:DR26" si="79">SUM(DQ24:DQ25)</f>
        <v>25966.994042210827</v>
      </c>
      <c r="DR26" s="62">
        <f t="shared" si="79"/>
        <v>24882.211132546116</v>
      </c>
      <c r="DS26" s="62">
        <v>25138.595262498904</v>
      </c>
      <c r="DT26" s="62">
        <v>24971.448707712174</v>
      </c>
      <c r="DU26" s="62">
        <v>26506.192632735947</v>
      </c>
      <c r="DV26" s="62">
        <v>24103</v>
      </c>
      <c r="DW26" s="62">
        <v>24357.034430725715</v>
      </c>
      <c r="DX26" s="62">
        <f>DX25+DX24</f>
        <v>24638.840973094229</v>
      </c>
      <c r="DY26" s="62">
        <f>DY25+DY24</f>
        <v>24353.062542899897</v>
      </c>
      <c r="DZ26" s="62">
        <f>DZ25+DZ24</f>
        <v>23887.410433344201</v>
      </c>
      <c r="EA26" s="62">
        <f>EA25+EA24</f>
        <v>24069.034883282849</v>
      </c>
      <c r="EB26" s="62">
        <f>EB25+EB24</f>
        <v>23729.957603705574</v>
      </c>
      <c r="EC26" s="62">
        <f t="shared" ref="EC26" si="80">EC25+EC24</f>
        <v>23796.848189957287</v>
      </c>
    </row>
    <row r="27" spans="3:133">
      <c r="BV27" s="25"/>
      <c r="BW27" s="25"/>
      <c r="BX27" s="25"/>
      <c r="CZ27" s="246"/>
    </row>
    <row r="28" spans="3:133">
      <c r="C28" s="75" t="s">
        <v>922</v>
      </c>
      <c r="D28" s="75"/>
      <c r="E28" s="75"/>
      <c r="F28" s="75"/>
      <c r="G28" s="75"/>
      <c r="H28" s="75"/>
      <c r="I28" s="75"/>
      <c r="J28" s="75"/>
      <c r="K28" s="75"/>
      <c r="L28" s="75"/>
      <c r="M28" s="75"/>
      <c r="N28" s="75"/>
      <c r="O28" s="75"/>
      <c r="P28" s="75"/>
      <c r="Q28" s="75"/>
      <c r="R28" s="75"/>
      <c r="S28" s="75"/>
      <c r="T28" s="75"/>
      <c r="U28" s="75"/>
      <c r="V28" s="75"/>
      <c r="W28" s="75"/>
      <c r="X28" s="75"/>
      <c r="Y28" s="75"/>
      <c r="Z28" s="75"/>
      <c r="AA28" s="75"/>
      <c r="AB28" s="75"/>
      <c r="AC28" s="75"/>
      <c r="AD28" s="75"/>
      <c r="AE28" s="75"/>
      <c r="AF28" s="75"/>
      <c r="AG28" s="75"/>
      <c r="AH28" s="75"/>
      <c r="AI28" s="75"/>
      <c r="AJ28" s="75"/>
      <c r="AK28" s="75"/>
      <c r="AL28" s="75"/>
      <c r="AM28" s="75"/>
      <c r="AN28" s="75"/>
      <c r="AO28" s="75"/>
      <c r="AP28" s="75"/>
      <c r="AQ28" s="75"/>
      <c r="AR28" s="75"/>
      <c r="AS28" s="75"/>
      <c r="AT28" s="75"/>
      <c r="AU28" s="75"/>
      <c r="AV28" s="75"/>
      <c r="AW28" s="75"/>
      <c r="AX28" s="75"/>
      <c r="AY28" s="75"/>
      <c r="AZ28" s="75"/>
      <c r="BA28" s="75"/>
      <c r="BB28" s="75"/>
      <c r="BC28" s="75"/>
      <c r="BD28" s="75"/>
      <c r="BE28" s="75"/>
      <c r="BF28" s="75"/>
      <c r="BG28" s="75"/>
      <c r="BH28" s="75"/>
      <c r="BI28" s="75"/>
      <c r="BJ28" s="75"/>
      <c r="BK28" s="75"/>
      <c r="BL28" s="75"/>
      <c r="BM28" s="75"/>
      <c r="BN28" s="75"/>
      <c r="BO28" s="75"/>
      <c r="BP28" s="75"/>
      <c r="BQ28" s="75"/>
      <c r="BR28" s="75"/>
      <c r="BS28" s="75"/>
      <c r="BT28" s="75"/>
      <c r="BU28" s="75"/>
      <c r="BV28" s="75"/>
      <c r="BW28" s="75"/>
      <c r="BX28" s="75"/>
      <c r="BY28" s="75"/>
      <c r="BZ28" s="75"/>
      <c r="CA28" s="75"/>
      <c r="CB28" s="75"/>
      <c r="CC28" s="75"/>
      <c r="CD28" s="75"/>
      <c r="CE28" s="75"/>
      <c r="CF28" s="69"/>
      <c r="CG28" s="69"/>
      <c r="CH28" s="69"/>
      <c r="CI28" s="69"/>
      <c r="CJ28" s="69"/>
      <c r="CK28" s="69"/>
      <c r="CL28" s="69"/>
      <c r="CM28" s="69"/>
      <c r="CN28" s="69"/>
      <c r="CO28" s="69"/>
      <c r="CP28" s="69"/>
      <c r="CQ28" s="69"/>
      <c r="CR28" s="69"/>
      <c r="CS28" s="69"/>
      <c r="CT28" s="69"/>
      <c r="CU28" s="69"/>
      <c r="CV28" s="69"/>
      <c r="CW28" s="69"/>
      <c r="CX28" s="69"/>
      <c r="CY28" s="69"/>
      <c r="CZ28" s="25"/>
      <c r="DA28" s="69"/>
      <c r="DE28" s="69"/>
      <c r="DK28" s="69"/>
      <c r="DL28" s="69"/>
      <c r="DM28" s="69"/>
      <c r="DN28" s="69"/>
      <c r="DO28" s="69"/>
      <c r="DP28" s="69"/>
      <c r="DQ28" s="69"/>
      <c r="DR28" s="69"/>
      <c r="DS28" s="69"/>
      <c r="DT28" s="69"/>
      <c r="DU28" s="69"/>
      <c r="DV28" s="69"/>
      <c r="DW28" s="69"/>
      <c r="DX28" s="69"/>
      <c r="DY28" s="69"/>
      <c r="DZ28" s="69"/>
      <c r="EA28" s="69"/>
      <c r="EB28" s="69"/>
    </row>
    <row r="29" spans="3:133">
      <c r="C29" s="75" t="s">
        <v>921</v>
      </c>
      <c r="D29" s="75"/>
      <c r="E29" s="75"/>
      <c r="F29" s="75"/>
      <c r="G29" s="75"/>
      <c r="H29" s="75"/>
      <c r="I29" s="75"/>
      <c r="J29" s="75"/>
      <c r="K29" s="75"/>
      <c r="L29" s="75"/>
      <c r="M29" s="75"/>
      <c r="N29" s="75"/>
      <c r="O29" s="75"/>
      <c r="P29" s="75"/>
      <c r="Q29" s="75"/>
      <c r="R29" s="75"/>
      <c r="S29" s="75"/>
      <c r="T29" s="75"/>
      <c r="U29" s="75"/>
      <c r="V29" s="75"/>
      <c r="W29" s="75"/>
      <c r="X29" s="75"/>
      <c r="Y29" s="75"/>
      <c r="Z29" s="75"/>
      <c r="AA29" s="75"/>
      <c r="AB29" s="75"/>
      <c r="AC29" s="75"/>
      <c r="AD29" s="75"/>
      <c r="AE29" s="75"/>
      <c r="AF29" s="75"/>
      <c r="AG29" s="75"/>
      <c r="AH29" s="75"/>
      <c r="AI29" s="75"/>
      <c r="AJ29" s="75"/>
      <c r="AK29" s="75"/>
      <c r="AL29" s="75"/>
      <c r="AM29" s="75"/>
      <c r="AN29" s="75"/>
      <c r="AO29" s="75"/>
      <c r="AP29" s="75"/>
      <c r="AQ29" s="75"/>
      <c r="AR29" s="75"/>
      <c r="AS29" s="75"/>
      <c r="AT29" s="75"/>
      <c r="AU29" s="75"/>
      <c r="AV29" s="75"/>
      <c r="AW29" s="75"/>
      <c r="AX29" s="75"/>
      <c r="AY29" s="75"/>
      <c r="AZ29" s="75"/>
      <c r="BA29" s="75"/>
      <c r="BB29" s="75"/>
      <c r="BC29" s="75"/>
      <c r="BD29" s="75"/>
      <c r="BE29" s="75"/>
      <c r="BF29" s="75"/>
      <c r="BG29" s="75"/>
      <c r="BH29" s="75"/>
      <c r="BI29" s="75"/>
      <c r="BJ29" s="75"/>
      <c r="BK29" s="75"/>
      <c r="BL29" s="75"/>
      <c r="BM29" s="75"/>
      <c r="BN29" s="75"/>
      <c r="BO29" s="75"/>
      <c r="BP29" s="75"/>
      <c r="BQ29" s="75"/>
      <c r="BR29" s="75"/>
      <c r="BS29" s="75"/>
      <c r="BT29" s="75"/>
      <c r="BU29" s="75"/>
      <c r="BV29" s="75"/>
      <c r="BW29" s="75"/>
      <c r="BX29" s="75"/>
      <c r="BY29" s="75"/>
      <c r="BZ29" s="75"/>
      <c r="CA29" s="75"/>
      <c r="CB29" s="75"/>
      <c r="CC29" s="75"/>
      <c r="CD29" s="75"/>
      <c r="CE29" s="75"/>
      <c r="CF29" s="69"/>
      <c r="CG29" s="69"/>
      <c r="CH29" s="69"/>
      <c r="CI29" s="69"/>
      <c r="CJ29" s="69"/>
      <c r="CK29" s="69"/>
      <c r="CL29" s="69"/>
      <c r="CM29" s="69"/>
      <c r="CN29" s="69"/>
      <c r="CO29" s="69"/>
      <c r="CP29" s="69"/>
      <c r="CQ29" s="69"/>
      <c r="CR29" s="69"/>
      <c r="CS29" s="69"/>
      <c r="CT29" s="69"/>
      <c r="CU29" s="69"/>
      <c r="CV29" s="69"/>
      <c r="CW29" s="69"/>
      <c r="CX29" s="69"/>
      <c r="CY29" s="69"/>
      <c r="CZ29" s="69"/>
      <c r="DA29" s="69"/>
      <c r="DE29" s="69"/>
      <c r="DK29" s="69"/>
      <c r="DL29" s="69"/>
      <c r="DM29" s="69"/>
      <c r="DN29" s="69"/>
      <c r="DO29" s="69"/>
      <c r="DP29" s="69"/>
      <c r="DQ29" s="69"/>
      <c r="DR29" s="69"/>
      <c r="DS29" s="69"/>
      <c r="DT29" s="69"/>
      <c r="DU29" s="69"/>
      <c r="DV29" s="69"/>
      <c r="DW29" s="69"/>
      <c r="DX29" s="69"/>
      <c r="DY29" s="69"/>
      <c r="DZ29" s="69"/>
      <c r="EA29" s="69"/>
      <c r="EB29" s="69"/>
    </row>
    <row r="30" spans="3:133">
      <c r="CZ30" s="69"/>
    </row>
  </sheetData>
  <pageMargins left="0.511811024" right="0.511811024" top="0.78740157499999996" bottom="0.78740157499999996" header="0.31496062000000002" footer="0.31496062000000002"/>
  <pageSetup paperSize="9" orientation="portrait" r:id="rId1"/>
  <ignoredErrors>
    <ignoredError sqref="E10:P10 R10:BD10" formula="1"/>
    <ignoredError sqref="Q10" formula="1" formulaRange="1"/>
    <ignoredError sqref="Q9 Q11 Q13:Q17" formulaRange="1"/>
  </ignoredErrors>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765A4-137A-49CE-944B-07AAB1540894}">
  <dimension ref="B1:AL65"/>
  <sheetViews>
    <sheetView showGridLines="0" zoomScaleNormal="100" workbookViewId="0">
      <pane xSplit="3" ySplit="5" topLeftCell="AE38" activePane="bottomRight" state="frozen"/>
      <selection activeCell="B30" sqref="B30"/>
      <selection pane="topRight" activeCell="B30" sqref="B30"/>
      <selection pane="bottomLeft" activeCell="B30" sqref="B30"/>
      <selection pane="bottomRight" activeCell="B30" sqref="B30"/>
    </sheetView>
  </sheetViews>
  <sheetFormatPr defaultRowHeight="13" outlineLevelRow="1"/>
  <cols>
    <col min="1" max="1" width="1.81640625" style="3" customWidth="1"/>
    <col min="2" max="2" width="1.26953125" style="3" customWidth="1"/>
    <col min="3" max="3" width="31.81640625" style="3" customWidth="1"/>
    <col min="4" max="4" width="10.81640625" style="3" customWidth="1"/>
    <col min="5" max="9" width="8.7265625" style="3"/>
    <col min="10" max="10" width="9.7265625" style="3" bestFit="1" customWidth="1"/>
    <col min="11" max="17" width="8.7265625" style="3"/>
    <col min="18" max="32" width="9.1796875" style="3" customWidth="1"/>
    <col min="33" max="33" width="8.7265625" style="3"/>
    <col min="34" max="34" width="9.54296875" style="3" bestFit="1" customWidth="1"/>
    <col min="35" max="16384" width="8.7265625" style="3"/>
  </cols>
  <sheetData>
    <row r="1" spans="2:38" ht="9" customHeight="1">
      <c r="D1" s="18"/>
      <c r="F1" s="18"/>
      <c r="G1" s="18"/>
      <c r="H1" s="18"/>
      <c r="I1" s="18"/>
    </row>
    <row r="2" spans="2:38">
      <c r="D2" s="296" t="s">
        <v>675</v>
      </c>
      <c r="E2" s="1"/>
      <c r="F2" s="1"/>
      <c r="G2" s="1"/>
      <c r="H2" s="1"/>
      <c r="I2" s="1"/>
      <c r="J2" s="1"/>
      <c r="K2" s="1"/>
      <c r="L2" s="1"/>
      <c r="M2" s="18"/>
      <c r="N2" s="18"/>
      <c r="P2" s="18"/>
      <c r="Q2" s="18"/>
      <c r="R2" s="18"/>
      <c r="S2" s="18"/>
      <c r="T2" s="18"/>
      <c r="U2" s="18"/>
      <c r="V2" s="18"/>
      <c r="W2" s="18"/>
      <c r="X2" s="18"/>
      <c r="Y2" s="18"/>
      <c r="Z2" s="18"/>
      <c r="AA2" s="18"/>
      <c r="AB2" s="18"/>
      <c r="AC2" s="18"/>
      <c r="AD2" s="18"/>
      <c r="AE2" s="18"/>
      <c r="AF2" s="18"/>
      <c r="AG2" s="18"/>
    </row>
    <row r="3" spans="2:38">
      <c r="D3" s="44" t="s">
        <v>1137</v>
      </c>
      <c r="G3" s="18"/>
      <c r="H3" s="18"/>
      <c r="I3" s="18"/>
      <c r="J3" s="18"/>
      <c r="K3" s="18"/>
      <c r="L3" s="18"/>
      <c r="M3" s="18"/>
      <c r="N3" s="18"/>
      <c r="O3" s="18"/>
      <c r="P3" s="18"/>
      <c r="Q3" s="18"/>
      <c r="R3" s="18"/>
      <c r="S3" s="18"/>
      <c r="T3" s="18"/>
      <c r="U3" s="18"/>
      <c r="V3" s="18"/>
      <c r="W3" s="18"/>
      <c r="X3" s="18"/>
      <c r="Y3" s="18"/>
      <c r="Z3" s="18"/>
      <c r="AA3" s="18"/>
      <c r="AB3" s="18"/>
      <c r="AC3" s="18"/>
      <c r="AD3" s="18"/>
      <c r="AE3" s="18"/>
      <c r="AF3" s="18"/>
      <c r="AG3" s="18"/>
    </row>
    <row r="5" spans="2:38" ht="14.5">
      <c r="C5" s="149" t="s">
        <v>853</v>
      </c>
      <c r="D5" s="4">
        <v>2026</v>
      </c>
      <c r="E5" s="4">
        <f>D5+1</f>
        <v>2027</v>
      </c>
      <c r="F5" s="4">
        <f t="shared" ref="F5:AJ5" si="0">E5+1</f>
        <v>2028</v>
      </c>
      <c r="G5" s="4">
        <f t="shared" si="0"/>
        <v>2029</v>
      </c>
      <c r="H5" s="4">
        <f t="shared" si="0"/>
        <v>2030</v>
      </c>
      <c r="I5" s="4">
        <f t="shared" si="0"/>
        <v>2031</v>
      </c>
      <c r="J5" s="4">
        <f t="shared" si="0"/>
        <v>2032</v>
      </c>
      <c r="K5" s="4">
        <f t="shared" si="0"/>
        <v>2033</v>
      </c>
      <c r="L5" s="4">
        <f t="shared" si="0"/>
        <v>2034</v>
      </c>
      <c r="M5" s="4">
        <f t="shared" si="0"/>
        <v>2035</v>
      </c>
      <c r="N5" s="4">
        <f t="shared" si="0"/>
        <v>2036</v>
      </c>
      <c r="O5" s="4">
        <f t="shared" si="0"/>
        <v>2037</v>
      </c>
      <c r="P5" s="4">
        <f t="shared" si="0"/>
        <v>2038</v>
      </c>
      <c r="Q5" s="4">
        <f t="shared" si="0"/>
        <v>2039</v>
      </c>
      <c r="R5" s="4">
        <f t="shared" si="0"/>
        <v>2040</v>
      </c>
      <c r="S5" s="4">
        <f t="shared" si="0"/>
        <v>2041</v>
      </c>
      <c r="T5" s="4">
        <f t="shared" si="0"/>
        <v>2042</v>
      </c>
      <c r="U5" s="4">
        <f t="shared" si="0"/>
        <v>2043</v>
      </c>
      <c r="V5" s="4">
        <f t="shared" si="0"/>
        <v>2044</v>
      </c>
      <c r="W5" s="4">
        <f t="shared" si="0"/>
        <v>2045</v>
      </c>
      <c r="X5" s="4">
        <f t="shared" si="0"/>
        <v>2046</v>
      </c>
      <c r="Y5" s="4">
        <f t="shared" si="0"/>
        <v>2047</v>
      </c>
      <c r="Z5" s="4">
        <f t="shared" si="0"/>
        <v>2048</v>
      </c>
      <c r="AA5" s="4">
        <f t="shared" si="0"/>
        <v>2049</v>
      </c>
      <c r="AB5" s="4">
        <f t="shared" si="0"/>
        <v>2050</v>
      </c>
      <c r="AC5" s="4">
        <f t="shared" si="0"/>
        <v>2051</v>
      </c>
      <c r="AD5" s="4">
        <f t="shared" si="0"/>
        <v>2052</v>
      </c>
      <c r="AE5" s="4">
        <f t="shared" si="0"/>
        <v>2053</v>
      </c>
      <c r="AF5" s="4">
        <f t="shared" si="0"/>
        <v>2054</v>
      </c>
      <c r="AG5" s="4">
        <f t="shared" si="0"/>
        <v>2055</v>
      </c>
      <c r="AH5" s="4">
        <f t="shared" si="0"/>
        <v>2056</v>
      </c>
      <c r="AI5" s="4">
        <f t="shared" si="0"/>
        <v>2057</v>
      </c>
      <c r="AJ5" s="4">
        <f t="shared" si="0"/>
        <v>2058</v>
      </c>
      <c r="AK5" s="4" t="s">
        <v>555</v>
      </c>
    </row>
    <row r="6" spans="2:38" ht="5.25" customHeight="1"/>
    <row r="7" spans="2:38">
      <c r="B7" s="80" t="s">
        <v>672</v>
      </c>
    </row>
    <row r="8" spans="2:38" ht="5.25" customHeight="1" outlineLevel="1" thickBot="1"/>
    <row r="9" spans="2:38" ht="14" outlineLevel="1" thickTop="1" thickBot="1">
      <c r="C9" s="10" t="s">
        <v>670</v>
      </c>
      <c r="D9" s="81">
        <v>2.4611339800900298</v>
      </c>
      <c r="E9" s="81">
        <v>2.7794569200428167</v>
      </c>
      <c r="F9" s="81">
        <v>2.7501063921039677</v>
      </c>
      <c r="G9" s="81">
        <v>2.7585721179722573</v>
      </c>
      <c r="H9" s="81">
        <v>2.794276574862641</v>
      </c>
      <c r="I9" s="81">
        <v>2.8858391407831565</v>
      </c>
      <c r="J9" s="81">
        <v>3.0503676420126413</v>
      </c>
      <c r="K9" s="81">
        <v>3.0072898886825579</v>
      </c>
      <c r="L9" s="81">
        <v>2.716545310077811</v>
      </c>
      <c r="M9" s="81">
        <v>2.4268077662193162</v>
      </c>
      <c r="N9" s="81">
        <v>2.1979857449783489</v>
      </c>
      <c r="O9" s="81">
        <v>1.9311771652238545</v>
      </c>
      <c r="P9" s="81">
        <v>1.6978140232146282</v>
      </c>
      <c r="Q9" s="81">
        <v>1.5016327364594912</v>
      </c>
      <c r="R9" s="81">
        <v>1.3102450399667145</v>
      </c>
      <c r="S9" s="81">
        <v>1.0343880010374369</v>
      </c>
      <c r="T9" s="81">
        <v>0.91877982275444914</v>
      </c>
      <c r="U9" s="81">
        <v>0.80829359794607281</v>
      </c>
      <c r="V9" s="81">
        <v>0.55445857203240723</v>
      </c>
      <c r="W9" s="81">
        <v>0.34915289844517233</v>
      </c>
      <c r="X9" s="81">
        <v>0.31036241028380696</v>
      </c>
      <c r="Y9" s="81">
        <v>0.27841341184321799</v>
      </c>
      <c r="Z9" s="81">
        <v>0.2497241513810429</v>
      </c>
      <c r="AA9" s="81">
        <v>0.22075070397740598</v>
      </c>
      <c r="AB9" s="81">
        <v>0.19122210017406796</v>
      </c>
      <c r="AC9" s="81">
        <v>0.16943266490421302</v>
      </c>
      <c r="AD9" s="81">
        <v>0.10007567301541204</v>
      </c>
      <c r="AE9" s="81">
        <v>0</v>
      </c>
      <c r="AF9" s="81">
        <v>0</v>
      </c>
      <c r="AG9" s="81">
        <v>0</v>
      </c>
      <c r="AH9" s="81">
        <v>0</v>
      </c>
      <c r="AI9" s="81">
        <v>0</v>
      </c>
      <c r="AJ9" s="81">
        <v>0</v>
      </c>
      <c r="AK9" s="297">
        <f>SUM(D9:AJ9)</f>
        <v>41.454304450484948</v>
      </c>
    </row>
    <row r="10" spans="2:38" ht="14" outlineLevel="1" thickTop="1" thickBot="1">
      <c r="C10" s="10" t="s">
        <v>671</v>
      </c>
      <c r="D10" s="82">
        <v>2.2619403440082384</v>
      </c>
      <c r="E10" s="82">
        <v>2.6428139486615527</v>
      </c>
      <c r="F10" s="82">
        <v>3.0185248032472503</v>
      </c>
      <c r="G10" s="82">
        <v>3.0503100005078618</v>
      </c>
      <c r="H10" s="82">
        <v>3.0700127410515679</v>
      </c>
      <c r="I10" s="82">
        <v>2.977097666143651</v>
      </c>
      <c r="J10" s="82">
        <v>3.2628534246294993</v>
      </c>
      <c r="K10" s="82">
        <v>3.2032539716667796</v>
      </c>
      <c r="L10" s="82">
        <v>2.8824433333572754</v>
      </c>
      <c r="M10" s="82">
        <v>2.5648127965093979</v>
      </c>
      <c r="N10" s="82">
        <v>2.2821711099969511</v>
      </c>
      <c r="O10" s="82">
        <v>2.0294669590907737</v>
      </c>
      <c r="P10" s="82">
        <v>1.8074172180404338</v>
      </c>
      <c r="Q10" s="82">
        <v>1.6151956835816479</v>
      </c>
      <c r="R10" s="82">
        <v>1.4431992311625528</v>
      </c>
      <c r="S10" s="82">
        <v>1.2466208609852292</v>
      </c>
      <c r="T10" s="82">
        <v>1.118885310764604</v>
      </c>
      <c r="U10" s="82">
        <v>1.0018758096354929</v>
      </c>
      <c r="V10" s="82">
        <v>0.80722113962061992</v>
      </c>
      <c r="W10" s="82">
        <v>0.63649427276120674</v>
      </c>
      <c r="X10" s="82">
        <v>0.56346084479439429</v>
      </c>
      <c r="Y10" s="82">
        <v>0.51139041309849576</v>
      </c>
      <c r="Z10" s="82">
        <v>0.46458218748927399</v>
      </c>
      <c r="AA10" s="82">
        <v>0.41844259332358874</v>
      </c>
      <c r="AB10" s="82">
        <v>0.37635141372526276</v>
      </c>
      <c r="AC10" s="82">
        <v>0.33852799972612213</v>
      </c>
      <c r="AD10" s="82">
        <v>0.20647700142160705</v>
      </c>
      <c r="AE10" s="82">
        <v>0</v>
      </c>
      <c r="AF10" s="82">
        <v>0</v>
      </c>
      <c r="AG10" s="82">
        <v>0</v>
      </c>
      <c r="AH10" s="82">
        <v>0</v>
      </c>
      <c r="AI10" s="82">
        <v>0</v>
      </c>
      <c r="AJ10" s="82">
        <v>0</v>
      </c>
      <c r="AK10" s="82">
        <f>SUM(D10:AJ10)</f>
        <v>45.80184307900133</v>
      </c>
      <c r="AL10" s="298"/>
    </row>
    <row r="11" spans="2:38" ht="13.5" outlineLevel="1" thickBot="1">
      <c r="C11" s="28" t="s">
        <v>1036</v>
      </c>
      <c r="D11" s="42">
        <f>D10+D9</f>
        <v>4.7230743240982687</v>
      </c>
      <c r="E11" s="42">
        <f t="shared" ref="E11:AG11" si="1">E10+E9</f>
        <v>5.4222708687043699</v>
      </c>
      <c r="F11" s="42">
        <f t="shared" si="1"/>
        <v>5.7686311953512179</v>
      </c>
      <c r="G11" s="42">
        <f t="shared" si="1"/>
        <v>5.8088821184801187</v>
      </c>
      <c r="H11" s="42">
        <f t="shared" si="1"/>
        <v>5.8642893159142089</v>
      </c>
      <c r="I11" s="42">
        <f t="shared" si="1"/>
        <v>5.8629368069268075</v>
      </c>
      <c r="J11" s="42">
        <f t="shared" si="1"/>
        <v>6.3132210666421411</v>
      </c>
      <c r="K11" s="42">
        <f t="shared" si="1"/>
        <v>6.2105438603493379</v>
      </c>
      <c r="L11" s="42">
        <f t="shared" si="1"/>
        <v>5.5989886434350868</v>
      </c>
      <c r="M11" s="42">
        <f t="shared" si="1"/>
        <v>4.9916205627287145</v>
      </c>
      <c r="N11" s="42">
        <f t="shared" si="1"/>
        <v>4.4801568549753004</v>
      </c>
      <c r="O11" s="42">
        <f t="shared" si="1"/>
        <v>3.9606441243146282</v>
      </c>
      <c r="P11" s="42">
        <f t="shared" si="1"/>
        <v>3.5052312412550619</v>
      </c>
      <c r="Q11" s="42">
        <f t="shared" si="1"/>
        <v>3.1168284200411391</v>
      </c>
      <c r="R11" s="42">
        <f t="shared" si="1"/>
        <v>2.7534442711292675</v>
      </c>
      <c r="S11" s="42">
        <f t="shared" si="1"/>
        <v>2.2810088620226661</v>
      </c>
      <c r="T11" s="42">
        <f t="shared" si="1"/>
        <v>2.0376651335190532</v>
      </c>
      <c r="U11" s="42">
        <f t="shared" si="1"/>
        <v>1.8101694075815657</v>
      </c>
      <c r="V11" s="42">
        <f t="shared" si="1"/>
        <v>1.3616797116530273</v>
      </c>
      <c r="W11" s="42">
        <f t="shared" si="1"/>
        <v>0.98564717120637901</v>
      </c>
      <c r="X11" s="42">
        <f t="shared" si="1"/>
        <v>0.87382325507820124</v>
      </c>
      <c r="Y11" s="42">
        <f t="shared" si="1"/>
        <v>0.78980382494171375</v>
      </c>
      <c r="Z11" s="42">
        <f t="shared" si="1"/>
        <v>0.71430633887031691</v>
      </c>
      <c r="AA11" s="42">
        <f t="shared" si="1"/>
        <v>0.63919329730099472</v>
      </c>
      <c r="AB11" s="42">
        <f t="shared" si="1"/>
        <v>0.56757351389933075</v>
      </c>
      <c r="AC11" s="42">
        <f t="shared" si="1"/>
        <v>0.50796066463033518</v>
      </c>
      <c r="AD11" s="42">
        <f t="shared" si="1"/>
        <v>0.30655267443701906</v>
      </c>
      <c r="AE11" s="42">
        <f t="shared" si="1"/>
        <v>0</v>
      </c>
      <c r="AF11" s="42">
        <f t="shared" si="1"/>
        <v>0</v>
      </c>
      <c r="AG11" s="42">
        <f t="shared" si="1"/>
        <v>0</v>
      </c>
      <c r="AH11" s="42">
        <f t="shared" ref="AH11" si="2">AH10+AH9</f>
        <v>0</v>
      </c>
      <c r="AI11" s="42">
        <f t="shared" ref="AI11" si="3">AI10+AI9</f>
        <v>0</v>
      </c>
      <c r="AJ11" s="42">
        <f t="shared" ref="AJ11:AK11" si="4">AJ10+AJ9</f>
        <v>0</v>
      </c>
      <c r="AK11" s="42">
        <f t="shared" si="4"/>
        <v>87.25614752948627</v>
      </c>
    </row>
    <row r="12" spans="2:38" ht="5.25" customHeight="1" outlineLevel="1" thickBot="1">
      <c r="AK12" s="297"/>
    </row>
    <row r="13" spans="2:38" ht="14" outlineLevel="1" thickTop="1" thickBot="1">
      <c r="C13" s="10" t="s">
        <v>670</v>
      </c>
      <c r="D13" s="81">
        <v>3.0783548150692357</v>
      </c>
      <c r="E13" s="81">
        <v>3.0988402488342035</v>
      </c>
      <c r="F13" s="81">
        <v>3.06422174057121</v>
      </c>
      <c r="G13" s="81">
        <v>3.151325825795571</v>
      </c>
      <c r="H13" s="81">
        <v>3.444845922642128</v>
      </c>
      <c r="I13" s="81">
        <v>3.178198343850414</v>
      </c>
      <c r="J13" s="81">
        <v>2.7273769800625098</v>
      </c>
      <c r="K13" s="81">
        <v>2.402452755227984</v>
      </c>
      <c r="L13" s="81">
        <v>2.0868177707059976</v>
      </c>
      <c r="M13" s="81">
        <v>1.8278281973316293</v>
      </c>
      <c r="N13" s="81">
        <v>1.6186488616447339</v>
      </c>
      <c r="O13" s="81">
        <v>1.4390159270992084</v>
      </c>
      <c r="P13" s="81">
        <v>1.2820790136570703</v>
      </c>
      <c r="Q13" s="81">
        <v>1.1452695517543348</v>
      </c>
      <c r="R13" s="81">
        <v>1.0262941633971283</v>
      </c>
      <c r="S13" s="81">
        <v>0.91735039786379702</v>
      </c>
      <c r="T13" s="81">
        <v>0.81370706302278872</v>
      </c>
      <c r="U13" s="81">
        <v>0.73320969563644667</v>
      </c>
      <c r="V13" s="81">
        <v>0.6309058120765042</v>
      </c>
      <c r="W13" s="81">
        <v>0.538425635922957</v>
      </c>
      <c r="X13" s="81">
        <v>0.374032752566066</v>
      </c>
      <c r="Y13" s="81">
        <v>2.7856961871090994E-2</v>
      </c>
      <c r="Z13" s="81">
        <v>2.0924714744528002E-2</v>
      </c>
      <c r="AA13" s="81">
        <v>0</v>
      </c>
      <c r="AB13" s="81">
        <v>0</v>
      </c>
      <c r="AC13" s="81">
        <v>0</v>
      </c>
      <c r="AD13" s="81">
        <v>0</v>
      </c>
      <c r="AE13" s="81">
        <v>0</v>
      </c>
      <c r="AF13" s="81">
        <v>0</v>
      </c>
      <c r="AG13" s="81">
        <v>0</v>
      </c>
      <c r="AH13" s="81">
        <v>0</v>
      </c>
      <c r="AI13" s="81">
        <v>0</v>
      </c>
      <c r="AJ13" s="81">
        <v>0</v>
      </c>
      <c r="AK13" s="297">
        <f t="shared" ref="AK13:AK14" si="5">SUM(D13:AJ13)</f>
        <v>38.627983151347536</v>
      </c>
    </row>
    <row r="14" spans="2:38" ht="14" outlineLevel="1" thickTop="1" thickBot="1">
      <c r="C14" s="10" t="s">
        <v>671</v>
      </c>
      <c r="D14" s="82">
        <v>1.7106827291957569</v>
      </c>
      <c r="E14" s="82">
        <v>1.6460810937156807</v>
      </c>
      <c r="F14" s="82">
        <v>1.5132677216894297</v>
      </c>
      <c r="G14" s="82">
        <v>1.483661000133031</v>
      </c>
      <c r="H14" s="82">
        <v>1.5447754035901358</v>
      </c>
      <c r="I14" s="82">
        <v>1.3835106181122019</v>
      </c>
      <c r="J14" s="82">
        <v>1.1369001123094324</v>
      </c>
      <c r="K14" s="82">
        <v>1.0031466829793523</v>
      </c>
      <c r="L14" s="82">
        <v>0.86491632752213443</v>
      </c>
      <c r="M14" s="82">
        <v>0.75440951856622973</v>
      </c>
      <c r="N14" s="82">
        <v>0.66800888484109244</v>
      </c>
      <c r="O14" s="82">
        <v>0.59498198136306835</v>
      </c>
      <c r="P14" s="82">
        <v>0.52809620440165006</v>
      </c>
      <c r="Q14" s="82">
        <v>0.47228057797930784</v>
      </c>
      <c r="R14" s="82">
        <v>0.42264644141484498</v>
      </c>
      <c r="S14" s="82">
        <v>0.37794665726050941</v>
      </c>
      <c r="T14" s="82">
        <v>0.33578423286854014</v>
      </c>
      <c r="U14" s="82">
        <v>0.30138966454646865</v>
      </c>
      <c r="V14" s="82">
        <v>0.26860391053749089</v>
      </c>
      <c r="W14" s="82">
        <v>0.23980514822649152</v>
      </c>
      <c r="X14" s="82">
        <v>0.16590468795662869</v>
      </c>
      <c r="Y14" s="82">
        <v>1.1611257450898796E-2</v>
      </c>
      <c r="Z14" s="82">
        <v>9.4922313292971766E-3</v>
      </c>
      <c r="AA14" s="82">
        <v>0</v>
      </c>
      <c r="AB14" s="82">
        <v>0</v>
      </c>
      <c r="AC14" s="82">
        <v>0</v>
      </c>
      <c r="AD14" s="82">
        <v>0</v>
      </c>
      <c r="AE14" s="82">
        <v>0</v>
      </c>
      <c r="AF14" s="82">
        <v>0</v>
      </c>
      <c r="AG14" s="82">
        <v>0</v>
      </c>
      <c r="AH14" s="82">
        <v>0</v>
      </c>
      <c r="AI14" s="82">
        <v>0</v>
      </c>
      <c r="AJ14" s="82">
        <v>0</v>
      </c>
      <c r="AK14" s="82">
        <f t="shared" si="5"/>
        <v>17.437903087989675</v>
      </c>
      <c r="AL14" s="298"/>
    </row>
    <row r="15" spans="2:38" ht="13.5" outlineLevel="1" thickBot="1">
      <c r="C15" s="28" t="s">
        <v>37</v>
      </c>
      <c r="D15" s="42">
        <f t="shared" ref="D15:AK15" si="6">D14+D13</f>
        <v>4.7890375442649926</v>
      </c>
      <c r="E15" s="42">
        <f t="shared" si="6"/>
        <v>4.7449213425498842</v>
      </c>
      <c r="F15" s="42">
        <f t="shared" si="6"/>
        <v>4.5774894622606395</v>
      </c>
      <c r="G15" s="42">
        <f t="shared" si="6"/>
        <v>4.6349868259286016</v>
      </c>
      <c r="H15" s="42">
        <f t="shared" si="6"/>
        <v>4.989621326232264</v>
      </c>
      <c r="I15" s="42">
        <f t="shared" si="6"/>
        <v>4.5617089619626157</v>
      </c>
      <c r="J15" s="42">
        <f t="shared" si="6"/>
        <v>3.8642770923719425</v>
      </c>
      <c r="K15" s="42">
        <f t="shared" si="6"/>
        <v>3.4055994382073362</v>
      </c>
      <c r="L15" s="42">
        <f t="shared" si="6"/>
        <v>2.9517340982281319</v>
      </c>
      <c r="M15" s="42">
        <f t="shared" si="6"/>
        <v>2.5822377158978589</v>
      </c>
      <c r="N15" s="42">
        <f t="shared" si="6"/>
        <v>2.2866577464858264</v>
      </c>
      <c r="O15" s="42">
        <f t="shared" si="6"/>
        <v>2.0339979084622768</v>
      </c>
      <c r="P15" s="42">
        <f t="shared" si="6"/>
        <v>1.8101752180587205</v>
      </c>
      <c r="Q15" s="42">
        <f t="shared" si="6"/>
        <v>1.6175501297336425</v>
      </c>
      <c r="R15" s="42">
        <f t="shared" si="6"/>
        <v>1.4489406048119733</v>
      </c>
      <c r="S15" s="42">
        <f t="shared" si="6"/>
        <v>1.2952970551243064</v>
      </c>
      <c r="T15" s="42">
        <f t="shared" si="6"/>
        <v>1.1494912958913288</v>
      </c>
      <c r="U15" s="42">
        <f t="shared" si="6"/>
        <v>1.0345993601829153</v>
      </c>
      <c r="V15" s="42">
        <f t="shared" si="6"/>
        <v>0.89950972261399509</v>
      </c>
      <c r="W15" s="42">
        <f t="shared" si="6"/>
        <v>0.77823078414944846</v>
      </c>
      <c r="X15" s="42">
        <f t="shared" si="6"/>
        <v>0.53993744052269466</v>
      </c>
      <c r="Y15" s="42">
        <f t="shared" si="6"/>
        <v>3.9468219321989788E-2</v>
      </c>
      <c r="Z15" s="42">
        <f t="shared" si="6"/>
        <v>3.0416946073825179E-2</v>
      </c>
      <c r="AA15" s="42">
        <f t="shared" si="6"/>
        <v>0</v>
      </c>
      <c r="AB15" s="42">
        <f t="shared" si="6"/>
        <v>0</v>
      </c>
      <c r="AC15" s="42">
        <f t="shared" si="6"/>
        <v>0</v>
      </c>
      <c r="AD15" s="42">
        <f t="shared" si="6"/>
        <v>0</v>
      </c>
      <c r="AE15" s="42">
        <f t="shared" si="6"/>
        <v>0</v>
      </c>
      <c r="AF15" s="42">
        <f t="shared" si="6"/>
        <v>0</v>
      </c>
      <c r="AG15" s="42">
        <f t="shared" si="6"/>
        <v>0</v>
      </c>
      <c r="AH15" s="42">
        <f t="shared" si="6"/>
        <v>0</v>
      </c>
      <c r="AI15" s="42">
        <f t="shared" si="6"/>
        <v>0</v>
      </c>
      <c r="AJ15" s="42">
        <f t="shared" si="6"/>
        <v>0</v>
      </c>
      <c r="AK15" s="42">
        <f t="shared" si="6"/>
        <v>56.06588623933721</v>
      </c>
    </row>
    <row r="16" spans="2:38" ht="5.25" customHeight="1" outlineLevel="1" thickBot="1">
      <c r="AK16" s="297"/>
    </row>
    <row r="17" spans="2:38" ht="14" thickTop="1" thickBot="1">
      <c r="C17" s="10" t="s">
        <v>670</v>
      </c>
      <c r="D17" s="83">
        <f>D13+D9</f>
        <v>5.5394887951592651</v>
      </c>
      <c r="E17" s="83">
        <f t="shared" ref="E17:AJ18" si="7">E13+E9</f>
        <v>5.8782971688770207</v>
      </c>
      <c r="F17" s="83">
        <f t="shared" si="7"/>
        <v>5.8143281326751772</v>
      </c>
      <c r="G17" s="83">
        <f t="shared" si="7"/>
        <v>5.9098979437678283</v>
      </c>
      <c r="H17" s="83">
        <f t="shared" si="7"/>
        <v>6.239122497504769</v>
      </c>
      <c r="I17" s="83">
        <f t="shared" si="7"/>
        <v>6.0640374846335705</v>
      </c>
      <c r="J17" s="83">
        <f t="shared" si="7"/>
        <v>5.7777446220751507</v>
      </c>
      <c r="K17" s="83">
        <f t="shared" si="7"/>
        <v>5.4097426439105423</v>
      </c>
      <c r="L17" s="83">
        <f t="shared" si="7"/>
        <v>4.803363080783809</v>
      </c>
      <c r="M17" s="83">
        <f t="shared" si="7"/>
        <v>4.2546359635509452</v>
      </c>
      <c r="N17" s="83">
        <f t="shared" si="7"/>
        <v>3.816634606623083</v>
      </c>
      <c r="O17" s="83">
        <f t="shared" si="7"/>
        <v>3.370193092323063</v>
      </c>
      <c r="P17" s="83">
        <f t="shared" si="7"/>
        <v>2.9798930368716983</v>
      </c>
      <c r="Q17" s="83">
        <f t="shared" si="7"/>
        <v>2.646902288213826</v>
      </c>
      <c r="R17" s="83">
        <f t="shared" si="7"/>
        <v>2.3365392033638428</v>
      </c>
      <c r="S17" s="83">
        <f t="shared" si="7"/>
        <v>1.951738398901234</v>
      </c>
      <c r="T17" s="83">
        <f t="shared" si="7"/>
        <v>1.732486885777238</v>
      </c>
      <c r="U17" s="83">
        <f t="shared" si="7"/>
        <v>1.5415032935825195</v>
      </c>
      <c r="V17" s="83">
        <f t="shared" si="7"/>
        <v>1.1853643841089114</v>
      </c>
      <c r="W17" s="83">
        <f t="shared" si="7"/>
        <v>0.88757853436812928</v>
      </c>
      <c r="X17" s="83">
        <f t="shared" si="7"/>
        <v>0.68439516284987301</v>
      </c>
      <c r="Y17" s="83">
        <f t="shared" si="7"/>
        <v>0.30627037371430899</v>
      </c>
      <c r="Z17" s="83">
        <f t="shared" si="7"/>
        <v>0.27064886612557087</v>
      </c>
      <c r="AA17" s="83">
        <f t="shared" si="7"/>
        <v>0.22075070397740598</v>
      </c>
      <c r="AB17" s="83">
        <f t="shared" si="7"/>
        <v>0.19122210017406796</v>
      </c>
      <c r="AC17" s="83">
        <f t="shared" si="7"/>
        <v>0.16943266490421302</v>
      </c>
      <c r="AD17" s="83">
        <f t="shared" si="7"/>
        <v>0.10007567301541204</v>
      </c>
      <c r="AE17" s="83">
        <f t="shared" si="7"/>
        <v>0</v>
      </c>
      <c r="AF17" s="83">
        <f t="shared" si="7"/>
        <v>0</v>
      </c>
      <c r="AG17" s="83">
        <f t="shared" si="7"/>
        <v>0</v>
      </c>
      <c r="AH17" s="83">
        <f t="shared" si="7"/>
        <v>0</v>
      </c>
      <c r="AI17" s="83">
        <f t="shared" si="7"/>
        <v>0</v>
      </c>
      <c r="AJ17" s="83">
        <f t="shared" si="7"/>
        <v>0</v>
      </c>
      <c r="AK17" s="297">
        <f t="shared" ref="AK17:AK18" si="8">SUM(D17:AJ17)</f>
        <v>80.082287601832462</v>
      </c>
    </row>
    <row r="18" spans="2:38" ht="14" thickTop="1" thickBot="1">
      <c r="C18" s="10" t="s">
        <v>671</v>
      </c>
      <c r="D18" s="83">
        <f>D14+D10</f>
        <v>3.9726230732039953</v>
      </c>
      <c r="E18" s="83">
        <f t="shared" ref="E18:AF18" si="9">E14+E10</f>
        <v>4.2888950423772334</v>
      </c>
      <c r="F18" s="83">
        <f t="shared" si="9"/>
        <v>4.5317925249366802</v>
      </c>
      <c r="G18" s="83">
        <f t="shared" si="9"/>
        <v>4.5339710006408929</v>
      </c>
      <c r="H18" s="83">
        <f t="shared" si="9"/>
        <v>4.6147881446417038</v>
      </c>
      <c r="I18" s="83">
        <f t="shared" si="9"/>
        <v>4.3606082842558527</v>
      </c>
      <c r="J18" s="83">
        <f t="shared" si="9"/>
        <v>4.399753536938932</v>
      </c>
      <c r="K18" s="83">
        <f t="shared" si="9"/>
        <v>4.2064006546461314</v>
      </c>
      <c r="L18" s="83">
        <f t="shared" si="9"/>
        <v>3.7473596608794097</v>
      </c>
      <c r="M18" s="83">
        <f t="shared" si="9"/>
        <v>3.3192223150756277</v>
      </c>
      <c r="N18" s="83">
        <f t="shared" si="9"/>
        <v>2.9501799948380434</v>
      </c>
      <c r="O18" s="83">
        <f t="shared" si="9"/>
        <v>2.624448940453842</v>
      </c>
      <c r="P18" s="83">
        <f t="shared" si="9"/>
        <v>2.3355134224420837</v>
      </c>
      <c r="Q18" s="83">
        <f t="shared" si="9"/>
        <v>2.0874762615609557</v>
      </c>
      <c r="R18" s="83">
        <f t="shared" si="9"/>
        <v>1.8658456725773978</v>
      </c>
      <c r="S18" s="83">
        <f t="shared" si="9"/>
        <v>1.6245675182457386</v>
      </c>
      <c r="T18" s="83">
        <f t="shared" si="9"/>
        <v>1.454669543633144</v>
      </c>
      <c r="U18" s="83">
        <f t="shared" si="9"/>
        <v>1.3032654741819616</v>
      </c>
      <c r="V18" s="83">
        <f t="shared" si="9"/>
        <v>1.0758250501581108</v>
      </c>
      <c r="W18" s="83">
        <f t="shared" si="9"/>
        <v>0.8762994209876982</v>
      </c>
      <c r="X18" s="83">
        <f t="shared" si="9"/>
        <v>0.729365532751023</v>
      </c>
      <c r="Y18" s="83">
        <f t="shared" si="9"/>
        <v>0.5230016705493945</v>
      </c>
      <c r="Z18" s="83">
        <f t="shared" si="9"/>
        <v>0.47407441881857115</v>
      </c>
      <c r="AA18" s="83">
        <f t="shared" si="9"/>
        <v>0.41844259332358874</v>
      </c>
      <c r="AB18" s="83">
        <f t="shared" si="9"/>
        <v>0.37635141372526276</v>
      </c>
      <c r="AC18" s="83">
        <f t="shared" si="9"/>
        <v>0.33852799972612213</v>
      </c>
      <c r="AD18" s="83">
        <f t="shared" si="9"/>
        <v>0.20647700142160705</v>
      </c>
      <c r="AE18" s="83">
        <f t="shared" si="9"/>
        <v>0</v>
      </c>
      <c r="AF18" s="83">
        <f t="shared" si="9"/>
        <v>0</v>
      </c>
      <c r="AG18" s="83">
        <f t="shared" si="7"/>
        <v>0</v>
      </c>
      <c r="AH18" s="83">
        <f t="shared" si="7"/>
        <v>0</v>
      </c>
      <c r="AI18" s="83">
        <f t="shared" si="7"/>
        <v>0</v>
      </c>
      <c r="AJ18" s="83">
        <f t="shared" si="7"/>
        <v>0</v>
      </c>
      <c r="AK18" s="297">
        <f t="shared" si="8"/>
        <v>63.239746166991026</v>
      </c>
    </row>
    <row r="19" spans="2:38" ht="13.5" thickBot="1">
      <c r="C19" s="28" t="s">
        <v>673</v>
      </c>
      <c r="D19" s="42">
        <f t="shared" ref="D19:AG19" si="10">D18+D17</f>
        <v>9.5121118683632595</v>
      </c>
      <c r="E19" s="42">
        <f t="shared" si="10"/>
        <v>10.167192211254253</v>
      </c>
      <c r="F19" s="42">
        <f t="shared" si="10"/>
        <v>10.346120657611857</v>
      </c>
      <c r="G19" s="42">
        <f t="shared" si="10"/>
        <v>10.44386894440872</v>
      </c>
      <c r="H19" s="42">
        <f t="shared" si="10"/>
        <v>10.853910642146474</v>
      </c>
      <c r="I19" s="42">
        <f t="shared" si="10"/>
        <v>10.424645768889423</v>
      </c>
      <c r="J19" s="42">
        <f t="shared" si="10"/>
        <v>10.177498159014082</v>
      </c>
      <c r="K19" s="42">
        <f t="shared" si="10"/>
        <v>9.6161432985566737</v>
      </c>
      <c r="L19" s="42">
        <f t="shared" si="10"/>
        <v>8.5507227416632183</v>
      </c>
      <c r="M19" s="42">
        <f t="shared" si="10"/>
        <v>7.5738582786265729</v>
      </c>
      <c r="N19" s="42">
        <f t="shared" si="10"/>
        <v>6.7668146014611263</v>
      </c>
      <c r="O19" s="42">
        <f t="shared" si="10"/>
        <v>5.9946420327769054</v>
      </c>
      <c r="P19" s="42">
        <f t="shared" si="10"/>
        <v>5.315406459313782</v>
      </c>
      <c r="Q19" s="42">
        <f t="shared" si="10"/>
        <v>4.7343785497747817</v>
      </c>
      <c r="R19" s="42">
        <f t="shared" si="10"/>
        <v>4.2023848759412408</v>
      </c>
      <c r="S19" s="42">
        <f t="shared" si="10"/>
        <v>3.5763059171469727</v>
      </c>
      <c r="T19" s="42">
        <f t="shared" si="10"/>
        <v>3.1871564294103818</v>
      </c>
      <c r="U19" s="42">
        <f t="shared" si="10"/>
        <v>2.8447687677644811</v>
      </c>
      <c r="V19" s="42">
        <f t="shared" si="10"/>
        <v>2.2611894342670222</v>
      </c>
      <c r="W19" s="42">
        <f t="shared" si="10"/>
        <v>1.7638779553558275</v>
      </c>
      <c r="X19" s="42">
        <f t="shared" si="10"/>
        <v>1.4137606956008959</v>
      </c>
      <c r="Y19" s="42">
        <f t="shared" si="10"/>
        <v>0.82927204426370349</v>
      </c>
      <c r="Z19" s="42">
        <f t="shared" si="10"/>
        <v>0.74472328494414208</v>
      </c>
      <c r="AA19" s="42">
        <f t="shared" si="10"/>
        <v>0.63919329730099472</v>
      </c>
      <c r="AB19" s="42">
        <f t="shared" si="10"/>
        <v>0.56757351389933075</v>
      </c>
      <c r="AC19" s="42">
        <f t="shared" si="10"/>
        <v>0.50796066463033518</v>
      </c>
      <c r="AD19" s="42">
        <f t="shared" si="10"/>
        <v>0.30655267443701906</v>
      </c>
      <c r="AE19" s="42">
        <f t="shared" si="10"/>
        <v>0</v>
      </c>
      <c r="AF19" s="42">
        <f t="shared" si="10"/>
        <v>0</v>
      </c>
      <c r="AG19" s="42">
        <f t="shared" si="10"/>
        <v>0</v>
      </c>
      <c r="AH19" s="42">
        <f t="shared" ref="AH19" si="11">AH18+AH17</f>
        <v>0</v>
      </c>
      <c r="AI19" s="42">
        <f t="shared" ref="AI19" si="12">AI18+AI17</f>
        <v>0</v>
      </c>
      <c r="AJ19" s="42">
        <f t="shared" ref="AJ19" si="13">AJ18+AJ17</f>
        <v>0</v>
      </c>
      <c r="AK19" s="42">
        <f t="shared" ref="AK19" si="14">AK18+AK17</f>
        <v>143.32203376882347</v>
      </c>
    </row>
    <row r="20" spans="2:38">
      <c r="AK20" s="297"/>
    </row>
    <row r="21" spans="2:38">
      <c r="B21" s="80" t="s">
        <v>674</v>
      </c>
      <c r="AK21" s="297"/>
    </row>
    <row r="22" spans="2:38" ht="5.25" customHeight="1" outlineLevel="1" thickBot="1">
      <c r="AK22" s="297"/>
    </row>
    <row r="23" spans="2:38" ht="14" outlineLevel="1" thickTop="1" thickBot="1">
      <c r="C23" s="10" t="s">
        <v>670</v>
      </c>
      <c r="D23" s="81">
        <v>1.3874786696600003E-2</v>
      </c>
      <c r="E23" s="81">
        <v>7.0858277693735996E-2</v>
      </c>
      <c r="F23" s="81">
        <v>0.233753224414118</v>
      </c>
      <c r="G23" s="81">
        <v>0.33159675084892881</v>
      </c>
      <c r="H23" s="81">
        <v>0.44170305602111892</v>
      </c>
      <c r="I23" s="81">
        <v>0.54128110637377091</v>
      </c>
      <c r="J23" s="81">
        <v>0.598760276364946</v>
      </c>
      <c r="K23" s="81">
        <v>0.64194089928646159</v>
      </c>
      <c r="L23" s="81">
        <v>0.69931829395483525</v>
      </c>
      <c r="M23" s="81">
        <v>0.67945234758071049</v>
      </c>
      <c r="N23" s="81">
        <v>0.61062646938886589</v>
      </c>
      <c r="O23" s="81">
        <v>0.54139337880334437</v>
      </c>
      <c r="P23" s="81">
        <v>0.4665121884303855</v>
      </c>
      <c r="Q23" s="81">
        <v>0.40622521076610096</v>
      </c>
      <c r="R23" s="81">
        <v>0.36586102858133573</v>
      </c>
      <c r="S23" s="81">
        <v>0.44825932295995291</v>
      </c>
      <c r="T23" s="81">
        <v>0.40093013558520718</v>
      </c>
      <c r="U23" s="81">
        <v>0.22467219625281171</v>
      </c>
      <c r="V23" s="81">
        <v>0.35545820739247086</v>
      </c>
      <c r="W23" s="81">
        <v>0.43703596925834903</v>
      </c>
      <c r="X23" s="81">
        <v>0.32243440974410287</v>
      </c>
      <c r="Y23" s="81">
        <v>4.9529691943999962E-2</v>
      </c>
      <c r="Z23" s="81">
        <v>4.6171976374018972E-2</v>
      </c>
      <c r="AA23" s="81">
        <v>4.2933425404400032E-2</v>
      </c>
      <c r="AB23" s="81">
        <v>4.0252556332321027E-2</v>
      </c>
      <c r="AC23" s="81">
        <v>3.7765199228799957E-2</v>
      </c>
      <c r="AD23" s="81">
        <v>2.3443344748999988E-2</v>
      </c>
      <c r="AE23" s="81">
        <v>0</v>
      </c>
      <c r="AF23" s="81">
        <v>0</v>
      </c>
      <c r="AG23" s="81">
        <v>0</v>
      </c>
      <c r="AH23" s="81">
        <v>0</v>
      </c>
      <c r="AI23" s="81">
        <v>0</v>
      </c>
      <c r="AJ23" s="81">
        <v>0</v>
      </c>
      <c r="AK23" s="81">
        <f t="shared" ref="AK23:AK24" si="15">SUM(D23:AJ23)</f>
        <v>9.0720437304306945</v>
      </c>
    </row>
    <row r="24" spans="2:38" ht="14" outlineLevel="1" thickTop="1" thickBot="1">
      <c r="C24" s="10" t="s">
        <v>671</v>
      </c>
      <c r="D24" s="82">
        <v>6.1950388711136733E-3</v>
      </c>
      <c r="E24" s="82">
        <v>6.3468437153232693E-2</v>
      </c>
      <c r="F24" s="82">
        <v>0.21875873235025645</v>
      </c>
      <c r="G24" s="82">
        <v>0.31502262725998265</v>
      </c>
      <c r="H24" s="82">
        <v>0.6829452876194122</v>
      </c>
      <c r="I24" s="82">
        <v>0.85291322279980375</v>
      </c>
      <c r="J24" s="82">
        <v>0.95399806583170288</v>
      </c>
      <c r="K24" s="82">
        <v>0.97541849331631314</v>
      </c>
      <c r="L24" s="82">
        <v>0.8773524766577907</v>
      </c>
      <c r="M24" s="82">
        <v>0.78439682868958338</v>
      </c>
      <c r="N24" s="82">
        <v>0.74515104315146807</v>
      </c>
      <c r="O24" s="82">
        <v>0.70512671101790136</v>
      </c>
      <c r="P24" s="82">
        <v>0.61830187205361031</v>
      </c>
      <c r="Q24" s="82">
        <v>0.54356219576174714</v>
      </c>
      <c r="R24" s="82">
        <v>0.48377691021677743</v>
      </c>
      <c r="S24" s="82">
        <v>0.47569651835231597</v>
      </c>
      <c r="T24" s="82">
        <v>0.42466201111448237</v>
      </c>
      <c r="U24" s="82">
        <v>0.3335060296908498</v>
      </c>
      <c r="V24" s="82">
        <v>0.39204616332104347</v>
      </c>
      <c r="W24" s="82">
        <v>0.43716360524765391</v>
      </c>
      <c r="X24" s="82">
        <v>0.35780483903030508</v>
      </c>
      <c r="Y24" s="82">
        <v>0.18030381270708817</v>
      </c>
      <c r="Z24" s="82">
        <v>0.16270881781376675</v>
      </c>
      <c r="AA24" s="82">
        <v>0.1453741933548886</v>
      </c>
      <c r="AB24" s="82">
        <v>0.1330717762023863</v>
      </c>
      <c r="AC24" s="82">
        <v>0.12180814625964387</v>
      </c>
      <c r="AD24" s="82">
        <v>7.2725498541335976E-2</v>
      </c>
      <c r="AE24" s="82">
        <v>0</v>
      </c>
      <c r="AF24" s="82">
        <v>0</v>
      </c>
      <c r="AG24" s="82">
        <v>0</v>
      </c>
      <c r="AH24" s="82">
        <v>0</v>
      </c>
      <c r="AI24" s="82">
        <v>0</v>
      </c>
      <c r="AJ24" s="82">
        <v>0</v>
      </c>
      <c r="AK24" s="82">
        <f t="shared" si="15"/>
        <v>12.063259354386462</v>
      </c>
      <c r="AL24" s="298"/>
    </row>
    <row r="25" spans="2:38" ht="13.5" outlineLevel="1" thickBot="1">
      <c r="C25" s="28" t="s">
        <v>1036</v>
      </c>
      <c r="D25" s="42">
        <f t="shared" ref="D25:AG25" si="16">D24+D23</f>
        <v>2.0069825567713678E-2</v>
      </c>
      <c r="E25" s="42">
        <f t="shared" si="16"/>
        <v>0.13432671484696868</v>
      </c>
      <c r="F25" s="42">
        <f t="shared" si="16"/>
        <v>0.45251195676437445</v>
      </c>
      <c r="G25" s="42">
        <f t="shared" si="16"/>
        <v>0.64661937810891146</v>
      </c>
      <c r="H25" s="42">
        <f t="shared" si="16"/>
        <v>1.1246483436405312</v>
      </c>
      <c r="I25" s="42">
        <f t="shared" si="16"/>
        <v>1.3941943291735748</v>
      </c>
      <c r="J25" s="42">
        <f t="shared" si="16"/>
        <v>1.5527583421966489</v>
      </c>
      <c r="K25" s="42">
        <f t="shared" si="16"/>
        <v>1.6173593926027747</v>
      </c>
      <c r="L25" s="42">
        <f t="shared" si="16"/>
        <v>1.5766707706126259</v>
      </c>
      <c r="M25" s="42">
        <f t="shared" si="16"/>
        <v>1.4638491762702939</v>
      </c>
      <c r="N25" s="42">
        <f t="shared" si="16"/>
        <v>1.355777512540334</v>
      </c>
      <c r="O25" s="42">
        <f t="shared" si="16"/>
        <v>1.2465200898212458</v>
      </c>
      <c r="P25" s="42">
        <f t="shared" si="16"/>
        <v>1.0848140604839958</v>
      </c>
      <c r="Q25" s="42">
        <f t="shared" si="16"/>
        <v>0.9497874065278481</v>
      </c>
      <c r="R25" s="42">
        <f t="shared" si="16"/>
        <v>0.84963793879811322</v>
      </c>
      <c r="S25" s="42">
        <f t="shared" si="16"/>
        <v>0.92395584131226882</v>
      </c>
      <c r="T25" s="42">
        <f t="shared" si="16"/>
        <v>0.82559214669968961</v>
      </c>
      <c r="U25" s="42">
        <f t="shared" si="16"/>
        <v>0.55817822594366151</v>
      </c>
      <c r="V25" s="42">
        <f t="shared" si="16"/>
        <v>0.74750437071351428</v>
      </c>
      <c r="W25" s="42">
        <f t="shared" si="16"/>
        <v>0.87419957450600294</v>
      </c>
      <c r="X25" s="42">
        <f t="shared" si="16"/>
        <v>0.680239248774408</v>
      </c>
      <c r="Y25" s="42">
        <f t="shared" si="16"/>
        <v>0.22983350465108815</v>
      </c>
      <c r="Z25" s="42">
        <f t="shared" si="16"/>
        <v>0.20888079418778571</v>
      </c>
      <c r="AA25" s="42">
        <f t="shared" si="16"/>
        <v>0.18830761875928864</v>
      </c>
      <c r="AB25" s="42">
        <f t="shared" si="16"/>
        <v>0.17332433253470733</v>
      </c>
      <c r="AC25" s="42">
        <f t="shared" si="16"/>
        <v>0.15957334548844382</v>
      </c>
      <c r="AD25" s="42">
        <f t="shared" si="16"/>
        <v>9.6168843290335967E-2</v>
      </c>
      <c r="AE25" s="42">
        <f t="shared" si="16"/>
        <v>0</v>
      </c>
      <c r="AF25" s="42">
        <f t="shared" si="16"/>
        <v>0</v>
      </c>
      <c r="AG25" s="42">
        <f t="shared" si="16"/>
        <v>0</v>
      </c>
      <c r="AH25" s="42">
        <f t="shared" ref="AH25" si="17">AH24+AH23</f>
        <v>0</v>
      </c>
      <c r="AI25" s="42">
        <f t="shared" ref="AI25" si="18">AI24+AI23</f>
        <v>0</v>
      </c>
      <c r="AJ25" s="42">
        <f t="shared" ref="AJ25" si="19">AJ24+AJ23</f>
        <v>0</v>
      </c>
      <c r="AK25" s="42">
        <f t="shared" ref="AK25" si="20">AK24+AK23</f>
        <v>21.135303084817156</v>
      </c>
    </row>
    <row r="26" spans="2:38" ht="5.25" customHeight="1" outlineLevel="1" thickBot="1">
      <c r="AK26" s="297"/>
    </row>
    <row r="27" spans="2:38" ht="14" outlineLevel="1" thickTop="1" thickBot="1">
      <c r="C27" s="10" t="s">
        <v>670</v>
      </c>
      <c r="D27" s="81">
        <v>0.108132564761328</v>
      </c>
      <c r="E27" s="81">
        <v>0.38255234390536919</v>
      </c>
      <c r="F27" s="81">
        <v>0.814895030972839</v>
      </c>
      <c r="G27" s="81">
        <v>1.0400323116369101</v>
      </c>
      <c r="H27" s="81">
        <v>1.1353478262157206</v>
      </c>
      <c r="I27" s="81">
        <v>1.0953996664105465</v>
      </c>
      <c r="J27" s="81">
        <v>1.0869783903514258</v>
      </c>
      <c r="K27" s="81">
        <v>1.0423046484991443</v>
      </c>
      <c r="L27" s="81">
        <v>0.9681524688692742</v>
      </c>
      <c r="M27" s="81">
        <v>0.89129917432007666</v>
      </c>
      <c r="N27" s="81">
        <v>0.81703400976169716</v>
      </c>
      <c r="O27" s="81">
        <v>0.70542458198195879</v>
      </c>
      <c r="P27" s="81">
        <v>0.59244919219746328</v>
      </c>
      <c r="Q27" s="81">
        <v>0.50831778693661178</v>
      </c>
      <c r="R27" s="81">
        <v>0.435280656821732</v>
      </c>
      <c r="S27" s="81">
        <v>0.37296554265372983</v>
      </c>
      <c r="T27" s="81">
        <v>0.32876805860059694</v>
      </c>
      <c r="U27" s="81">
        <v>0.28979078605570191</v>
      </c>
      <c r="V27" s="81">
        <v>0.25057966527933301</v>
      </c>
      <c r="W27" s="81">
        <v>0.21786916010688803</v>
      </c>
      <c r="X27" s="81">
        <v>0.15791885331289393</v>
      </c>
      <c r="Y27" s="81">
        <v>3.7377287574352998E-2</v>
      </c>
      <c r="Z27" s="81">
        <v>2.9322699964263996E-2</v>
      </c>
      <c r="AA27" s="81">
        <v>0</v>
      </c>
      <c r="AB27" s="81">
        <v>0</v>
      </c>
      <c r="AC27" s="81">
        <v>0</v>
      </c>
      <c r="AD27" s="81">
        <v>0</v>
      </c>
      <c r="AE27" s="81">
        <v>0</v>
      </c>
      <c r="AF27" s="81">
        <v>0</v>
      </c>
      <c r="AG27" s="81">
        <v>0</v>
      </c>
      <c r="AH27" s="81">
        <v>0</v>
      </c>
      <c r="AI27" s="81">
        <v>0</v>
      </c>
      <c r="AJ27" s="81">
        <v>0</v>
      </c>
      <c r="AK27" s="81">
        <f t="shared" ref="AK27:AK28" si="21">SUM(D27:AJ27)</f>
        <v>13.308192707189859</v>
      </c>
    </row>
    <row r="28" spans="2:38" ht="14" outlineLevel="1" thickTop="1" thickBot="1">
      <c r="C28" s="10" t="s">
        <v>671</v>
      </c>
      <c r="D28" s="82">
        <v>4.3666355249781678E-2</v>
      </c>
      <c r="E28" s="82">
        <v>0.16029944249350042</v>
      </c>
      <c r="F28" s="82">
        <v>0.29615462732060266</v>
      </c>
      <c r="G28" s="82">
        <v>0.36270763343823076</v>
      </c>
      <c r="H28" s="82">
        <v>0.38611922785733488</v>
      </c>
      <c r="I28" s="82">
        <v>0.46859437622046823</v>
      </c>
      <c r="J28" s="82">
        <v>0.44643632125364913</v>
      </c>
      <c r="K28" s="82">
        <v>0.39228244676824342</v>
      </c>
      <c r="L28" s="82">
        <v>0.32485093658524311</v>
      </c>
      <c r="M28" s="82">
        <v>0.27283692133544712</v>
      </c>
      <c r="N28" s="82">
        <v>0.23095455232342219</v>
      </c>
      <c r="O28" s="82">
        <v>0.19131111132849493</v>
      </c>
      <c r="P28" s="82">
        <v>0.1612287355467569</v>
      </c>
      <c r="Q28" s="82">
        <v>0.13751130961104391</v>
      </c>
      <c r="R28" s="82">
        <v>0.11624081460966418</v>
      </c>
      <c r="S28" s="82">
        <v>9.40204820184634E-2</v>
      </c>
      <c r="T28" s="82">
        <v>8.5984481927304485E-2</v>
      </c>
      <c r="U28" s="82">
        <v>7.4214104349324309E-2</v>
      </c>
      <c r="V28" s="82">
        <v>6.3501509567814668E-2</v>
      </c>
      <c r="W28" s="82">
        <v>5.620897007502882E-2</v>
      </c>
      <c r="X28" s="82">
        <v>4.01480155432693E-2</v>
      </c>
      <c r="Y28" s="82">
        <v>3.400546515662321E-3</v>
      </c>
      <c r="Z28" s="82">
        <v>2.4757588452728424E-3</v>
      </c>
      <c r="AA28" s="82">
        <v>0</v>
      </c>
      <c r="AB28" s="82">
        <v>0</v>
      </c>
      <c r="AC28" s="82">
        <v>0</v>
      </c>
      <c r="AD28" s="82">
        <v>0</v>
      </c>
      <c r="AE28" s="82">
        <v>0</v>
      </c>
      <c r="AF28" s="82">
        <v>0</v>
      </c>
      <c r="AG28" s="82">
        <v>0</v>
      </c>
      <c r="AH28" s="82">
        <v>0</v>
      </c>
      <c r="AI28" s="82">
        <v>0</v>
      </c>
      <c r="AJ28" s="82">
        <v>0</v>
      </c>
      <c r="AK28" s="82">
        <f t="shared" si="21"/>
        <v>4.4111486807840237</v>
      </c>
      <c r="AL28" s="298"/>
    </row>
    <row r="29" spans="2:38" ht="13.5" outlineLevel="1" thickBot="1">
      <c r="C29" s="28" t="s">
        <v>37</v>
      </c>
      <c r="D29" s="42">
        <f t="shared" ref="D29:AG29" si="22">D28+D27</f>
        <v>0.15179892001110967</v>
      </c>
      <c r="E29" s="42">
        <f t="shared" si="22"/>
        <v>0.54285178639886955</v>
      </c>
      <c r="F29" s="42">
        <f t="shared" si="22"/>
        <v>1.1110496582934417</v>
      </c>
      <c r="G29" s="42">
        <f t="shared" si="22"/>
        <v>1.4027399450751408</v>
      </c>
      <c r="H29" s="42">
        <f t="shared" si="22"/>
        <v>1.5214670540730555</v>
      </c>
      <c r="I29" s="42">
        <f t="shared" si="22"/>
        <v>1.5639940426310148</v>
      </c>
      <c r="J29" s="42">
        <f t="shared" si="22"/>
        <v>1.5334147116050749</v>
      </c>
      <c r="K29" s="42">
        <f t="shared" si="22"/>
        <v>1.4345870952673878</v>
      </c>
      <c r="L29" s="42">
        <f t="shared" si="22"/>
        <v>1.2930034054545172</v>
      </c>
      <c r="M29" s="42">
        <f t="shared" si="22"/>
        <v>1.1641360956555238</v>
      </c>
      <c r="N29" s="42">
        <f t="shared" si="22"/>
        <v>1.0479885620851193</v>
      </c>
      <c r="O29" s="42">
        <f t="shared" si="22"/>
        <v>0.89673569331045377</v>
      </c>
      <c r="P29" s="42">
        <f t="shared" si="22"/>
        <v>0.75367792774422016</v>
      </c>
      <c r="Q29" s="42">
        <f t="shared" si="22"/>
        <v>0.64582909654765563</v>
      </c>
      <c r="R29" s="42">
        <f t="shared" si="22"/>
        <v>0.55152147143139618</v>
      </c>
      <c r="S29" s="42">
        <f t="shared" si="22"/>
        <v>0.46698602467219325</v>
      </c>
      <c r="T29" s="42">
        <f t="shared" si="22"/>
        <v>0.41475254052790145</v>
      </c>
      <c r="U29" s="42">
        <f t="shared" si="22"/>
        <v>0.3640048904050262</v>
      </c>
      <c r="V29" s="42">
        <f t="shared" si="22"/>
        <v>0.3140811748471477</v>
      </c>
      <c r="W29" s="42">
        <f t="shared" si="22"/>
        <v>0.27407813018191685</v>
      </c>
      <c r="X29" s="42">
        <f t="shared" si="22"/>
        <v>0.19806686885616323</v>
      </c>
      <c r="Y29" s="42">
        <f t="shared" si="22"/>
        <v>4.0777834090015321E-2</v>
      </c>
      <c r="Z29" s="42">
        <f t="shared" si="22"/>
        <v>3.1798458809536835E-2</v>
      </c>
      <c r="AA29" s="42">
        <f t="shared" si="22"/>
        <v>0</v>
      </c>
      <c r="AB29" s="42">
        <f t="shared" si="22"/>
        <v>0</v>
      </c>
      <c r="AC29" s="42">
        <f t="shared" si="22"/>
        <v>0</v>
      </c>
      <c r="AD29" s="42">
        <f t="shared" si="22"/>
        <v>0</v>
      </c>
      <c r="AE29" s="42">
        <f t="shared" si="22"/>
        <v>0</v>
      </c>
      <c r="AF29" s="42">
        <f t="shared" si="22"/>
        <v>0</v>
      </c>
      <c r="AG29" s="42">
        <f t="shared" si="22"/>
        <v>0</v>
      </c>
      <c r="AH29" s="42">
        <f t="shared" ref="AH29" si="23">AH28+AH27</f>
        <v>0</v>
      </c>
      <c r="AI29" s="42">
        <f t="shared" ref="AI29" si="24">AI28+AI27</f>
        <v>0</v>
      </c>
      <c r="AJ29" s="42">
        <f t="shared" ref="AJ29:AK29" si="25">AJ28+AJ27</f>
        <v>0</v>
      </c>
      <c r="AK29" s="42">
        <f t="shared" si="25"/>
        <v>17.719341387973884</v>
      </c>
    </row>
    <row r="30" spans="2:38" ht="5.25" customHeight="1" outlineLevel="1" thickBot="1">
      <c r="AK30" s="297"/>
    </row>
    <row r="31" spans="2:38" ht="14" thickTop="1" thickBot="1">
      <c r="C31" s="10" t="s">
        <v>670</v>
      </c>
      <c r="D31" s="83">
        <f>D27+D23</f>
        <v>0.122007351457928</v>
      </c>
      <c r="E31" s="83">
        <f t="shared" ref="E31:AG31" si="26">E27+E23</f>
        <v>0.45341062159910517</v>
      </c>
      <c r="F31" s="83">
        <f t="shared" si="26"/>
        <v>1.0486482553869569</v>
      </c>
      <c r="G31" s="83">
        <f t="shared" si="26"/>
        <v>1.3716290624858389</v>
      </c>
      <c r="H31" s="83">
        <f t="shared" si="26"/>
        <v>1.5770508822368394</v>
      </c>
      <c r="I31" s="83">
        <f t="shared" si="26"/>
        <v>1.6366807727843176</v>
      </c>
      <c r="J31" s="83">
        <f t="shared" si="26"/>
        <v>1.6857386667163718</v>
      </c>
      <c r="K31" s="83">
        <f t="shared" si="26"/>
        <v>1.684245547785606</v>
      </c>
      <c r="L31" s="83">
        <f t="shared" si="26"/>
        <v>1.6674707628241094</v>
      </c>
      <c r="M31" s="83">
        <f t="shared" si="26"/>
        <v>1.570751521900787</v>
      </c>
      <c r="N31" s="83">
        <f t="shared" si="26"/>
        <v>1.4276604791505632</v>
      </c>
      <c r="O31" s="83">
        <f t="shared" si="26"/>
        <v>1.2468179607853032</v>
      </c>
      <c r="P31" s="83">
        <f t="shared" si="26"/>
        <v>1.0589613806278488</v>
      </c>
      <c r="Q31" s="83">
        <f t="shared" si="26"/>
        <v>0.91454299770271275</v>
      </c>
      <c r="R31" s="83">
        <f t="shared" si="26"/>
        <v>0.80114168540306774</v>
      </c>
      <c r="S31" s="83">
        <f t="shared" si="26"/>
        <v>0.82122486561368269</v>
      </c>
      <c r="T31" s="83">
        <f t="shared" si="26"/>
        <v>0.72969819418580406</v>
      </c>
      <c r="U31" s="83">
        <f t="shared" si="26"/>
        <v>0.51446298230851362</v>
      </c>
      <c r="V31" s="83">
        <f t="shared" si="26"/>
        <v>0.60603787267180387</v>
      </c>
      <c r="W31" s="83">
        <f t="shared" si="26"/>
        <v>0.65490512936523704</v>
      </c>
      <c r="X31" s="83">
        <f t="shared" si="26"/>
        <v>0.48035326305699677</v>
      </c>
      <c r="Y31" s="83">
        <f t="shared" si="26"/>
        <v>8.6906979518352967E-2</v>
      </c>
      <c r="Z31" s="83">
        <f t="shared" si="26"/>
        <v>7.5494676338282968E-2</v>
      </c>
      <c r="AA31" s="83">
        <f t="shared" si="26"/>
        <v>4.2933425404400032E-2</v>
      </c>
      <c r="AB31" s="83">
        <f t="shared" si="26"/>
        <v>4.0252556332321027E-2</v>
      </c>
      <c r="AC31" s="83">
        <f t="shared" si="26"/>
        <v>3.7765199228799957E-2</v>
      </c>
      <c r="AD31" s="83">
        <f t="shared" si="26"/>
        <v>2.3443344748999988E-2</v>
      </c>
      <c r="AE31" s="83">
        <f t="shared" si="26"/>
        <v>0</v>
      </c>
      <c r="AF31" s="83">
        <f t="shared" si="26"/>
        <v>0</v>
      </c>
      <c r="AG31" s="83">
        <f t="shared" si="26"/>
        <v>0</v>
      </c>
      <c r="AH31" s="83">
        <f t="shared" ref="AH31:AJ31" si="27">AH27+AH23</f>
        <v>0</v>
      </c>
      <c r="AI31" s="83">
        <f t="shared" si="27"/>
        <v>0</v>
      </c>
      <c r="AJ31" s="83">
        <f t="shared" si="27"/>
        <v>0</v>
      </c>
      <c r="AK31" s="297">
        <f t="shared" ref="AK31" si="28">SUM(D31:AJ31)</f>
        <v>22.380236437620557</v>
      </c>
    </row>
    <row r="32" spans="2:38" ht="14" thickTop="1" thickBot="1">
      <c r="C32" s="10" t="s">
        <v>671</v>
      </c>
      <c r="D32" s="83">
        <f t="shared" ref="D32:AG32" si="29">D28+D24</f>
        <v>4.9861394120895353E-2</v>
      </c>
      <c r="E32" s="83">
        <f t="shared" si="29"/>
        <v>0.22376787964673311</v>
      </c>
      <c r="F32" s="83">
        <f t="shared" si="29"/>
        <v>0.51491335967085905</v>
      </c>
      <c r="G32" s="83">
        <f t="shared" si="29"/>
        <v>0.6777302606982134</v>
      </c>
      <c r="H32" s="83">
        <f t="shared" si="29"/>
        <v>1.0690645154767471</v>
      </c>
      <c r="I32" s="83">
        <f t="shared" si="29"/>
        <v>1.321507599020272</v>
      </c>
      <c r="J32" s="83">
        <f t="shared" si="29"/>
        <v>1.400434387085352</v>
      </c>
      <c r="K32" s="83">
        <f t="shared" si="29"/>
        <v>1.3677009400845566</v>
      </c>
      <c r="L32" s="83">
        <f t="shared" si="29"/>
        <v>1.2022034132430339</v>
      </c>
      <c r="M32" s="83">
        <f t="shared" si="29"/>
        <v>1.0572337500250306</v>
      </c>
      <c r="N32" s="83">
        <f t="shared" si="29"/>
        <v>0.97610559547489029</v>
      </c>
      <c r="O32" s="83">
        <f t="shared" si="29"/>
        <v>0.89643782234639624</v>
      </c>
      <c r="P32" s="83">
        <f t="shared" si="29"/>
        <v>0.77953060760036719</v>
      </c>
      <c r="Q32" s="83">
        <f t="shared" si="29"/>
        <v>0.68107350537279099</v>
      </c>
      <c r="R32" s="83">
        <f t="shared" si="29"/>
        <v>0.60001772482644156</v>
      </c>
      <c r="S32" s="83">
        <f t="shared" si="29"/>
        <v>0.56971700037077933</v>
      </c>
      <c r="T32" s="83">
        <f t="shared" si="29"/>
        <v>0.51064649304178689</v>
      </c>
      <c r="U32" s="83">
        <f t="shared" si="29"/>
        <v>0.4077201340401741</v>
      </c>
      <c r="V32" s="83">
        <f t="shared" si="29"/>
        <v>0.45554767288885811</v>
      </c>
      <c r="W32" s="83">
        <f t="shared" si="29"/>
        <v>0.49337257532268275</v>
      </c>
      <c r="X32" s="83">
        <f t="shared" si="29"/>
        <v>0.39795285457357438</v>
      </c>
      <c r="Y32" s="83">
        <f t="shared" si="29"/>
        <v>0.1837043592227505</v>
      </c>
      <c r="Z32" s="83">
        <f t="shared" si="29"/>
        <v>0.1651845766590396</v>
      </c>
      <c r="AA32" s="83">
        <f t="shared" si="29"/>
        <v>0.1453741933548886</v>
      </c>
      <c r="AB32" s="83">
        <f t="shared" si="29"/>
        <v>0.1330717762023863</v>
      </c>
      <c r="AC32" s="83">
        <f t="shared" si="29"/>
        <v>0.12180814625964387</v>
      </c>
      <c r="AD32" s="83">
        <f t="shared" si="29"/>
        <v>7.2725498541335976E-2</v>
      </c>
      <c r="AE32" s="83">
        <f t="shared" si="29"/>
        <v>0</v>
      </c>
      <c r="AF32" s="83">
        <f t="shared" si="29"/>
        <v>0</v>
      </c>
      <c r="AG32" s="83">
        <f t="shared" si="29"/>
        <v>0</v>
      </c>
      <c r="AH32" s="83">
        <f t="shared" ref="AH32:AJ32" si="30">AH28+AH24</f>
        <v>0</v>
      </c>
      <c r="AI32" s="83">
        <f t="shared" si="30"/>
        <v>0</v>
      </c>
      <c r="AJ32" s="83">
        <f t="shared" si="30"/>
        <v>0</v>
      </c>
      <c r="AK32" s="297">
        <f>SUM(D32:AJ32)</f>
        <v>16.474408035170477</v>
      </c>
    </row>
    <row r="33" spans="2:37" ht="13.5" thickBot="1">
      <c r="C33" s="28" t="s">
        <v>674</v>
      </c>
      <c r="D33" s="42">
        <f t="shared" ref="D33:AG33" si="31">D32+D31</f>
        <v>0.17186874557882337</v>
      </c>
      <c r="E33" s="42">
        <f t="shared" si="31"/>
        <v>0.67717850124583823</v>
      </c>
      <c r="F33" s="42">
        <f t="shared" si="31"/>
        <v>1.563561615057816</v>
      </c>
      <c r="G33" s="42">
        <f t="shared" si="31"/>
        <v>2.0493593231840523</v>
      </c>
      <c r="H33" s="42">
        <f t="shared" si="31"/>
        <v>2.6461153977135865</v>
      </c>
      <c r="I33" s="42">
        <f t="shared" si="31"/>
        <v>2.9581883718045896</v>
      </c>
      <c r="J33" s="42">
        <f t="shared" si="31"/>
        <v>3.0861730538017236</v>
      </c>
      <c r="K33" s="42">
        <f t="shared" si="31"/>
        <v>3.0519464878701625</v>
      </c>
      <c r="L33" s="42">
        <f t="shared" si="31"/>
        <v>2.8696741760671434</v>
      </c>
      <c r="M33" s="42">
        <f t="shared" si="31"/>
        <v>2.6279852719258177</v>
      </c>
      <c r="N33" s="42">
        <f t="shared" si="31"/>
        <v>2.4037660746254534</v>
      </c>
      <c r="O33" s="42">
        <f t="shared" si="31"/>
        <v>2.1432557831316994</v>
      </c>
      <c r="P33" s="42">
        <f t="shared" si="31"/>
        <v>1.838491988228216</v>
      </c>
      <c r="Q33" s="42">
        <f t="shared" si="31"/>
        <v>1.5956165030755036</v>
      </c>
      <c r="R33" s="42">
        <f t="shared" si="31"/>
        <v>1.4011594102295093</v>
      </c>
      <c r="S33" s="42">
        <f t="shared" si="31"/>
        <v>1.3909418659844621</v>
      </c>
      <c r="T33" s="42">
        <f t="shared" si="31"/>
        <v>1.2403446872275909</v>
      </c>
      <c r="U33" s="42">
        <f t="shared" si="31"/>
        <v>0.92218311634868777</v>
      </c>
      <c r="V33" s="42">
        <f t="shared" si="31"/>
        <v>1.061585545560662</v>
      </c>
      <c r="W33" s="42">
        <f t="shared" si="31"/>
        <v>1.1482777046879198</v>
      </c>
      <c r="X33" s="42">
        <f t="shared" si="31"/>
        <v>0.87830611763057109</v>
      </c>
      <c r="Y33" s="42">
        <f t="shared" si="31"/>
        <v>0.27061133874110344</v>
      </c>
      <c r="Z33" s="42">
        <f t="shared" si="31"/>
        <v>0.24067925299732257</v>
      </c>
      <c r="AA33" s="42">
        <f t="shared" si="31"/>
        <v>0.18830761875928864</v>
      </c>
      <c r="AB33" s="42">
        <f t="shared" si="31"/>
        <v>0.17332433253470733</v>
      </c>
      <c r="AC33" s="42">
        <f t="shared" si="31"/>
        <v>0.15957334548844382</v>
      </c>
      <c r="AD33" s="42">
        <f t="shared" si="31"/>
        <v>9.6168843290335967E-2</v>
      </c>
      <c r="AE33" s="42">
        <f t="shared" si="31"/>
        <v>0</v>
      </c>
      <c r="AF33" s="42">
        <f t="shared" si="31"/>
        <v>0</v>
      </c>
      <c r="AG33" s="42">
        <f t="shared" si="31"/>
        <v>0</v>
      </c>
      <c r="AH33" s="42">
        <f t="shared" ref="AH33" si="32">AH32+AH31</f>
        <v>0</v>
      </c>
      <c r="AI33" s="42">
        <f t="shared" ref="AI33" si="33">AI32+AI31</f>
        <v>0</v>
      </c>
      <c r="AJ33" s="42">
        <f t="shared" ref="AJ33:AK33" si="34">AJ32+AJ31</f>
        <v>0</v>
      </c>
      <c r="AK33" s="42">
        <f t="shared" si="34"/>
        <v>38.854644472791037</v>
      </c>
    </row>
    <row r="34" spans="2:37">
      <c r="AK34" s="297"/>
    </row>
    <row r="35" spans="2:37">
      <c r="B35" s="80" t="s">
        <v>678</v>
      </c>
      <c r="AK35" s="297"/>
    </row>
    <row r="36" spans="2:37" ht="5.25" customHeight="1" outlineLevel="1" thickBot="1">
      <c r="AK36" s="297"/>
    </row>
    <row r="37" spans="2:37" ht="14" outlineLevel="1" thickTop="1" thickBot="1">
      <c r="C37" s="10" t="s">
        <v>670</v>
      </c>
      <c r="D37" s="81">
        <f>D23+D9</f>
        <v>2.4750087667866296</v>
      </c>
      <c r="E37" s="81">
        <f t="shared" ref="E37:AG37" si="35">E23+E9</f>
        <v>2.8503151977365526</v>
      </c>
      <c r="F37" s="81">
        <f t="shared" si="35"/>
        <v>2.9838596165180857</v>
      </c>
      <c r="G37" s="81">
        <f t="shared" si="35"/>
        <v>3.0901688688211859</v>
      </c>
      <c r="H37" s="81">
        <f t="shared" si="35"/>
        <v>3.2359796308837598</v>
      </c>
      <c r="I37" s="81">
        <f t="shared" si="35"/>
        <v>3.4271202471569273</v>
      </c>
      <c r="J37" s="81">
        <f t="shared" si="35"/>
        <v>3.6491279183775873</v>
      </c>
      <c r="K37" s="81">
        <f t="shared" si="35"/>
        <v>3.6492307879690196</v>
      </c>
      <c r="L37" s="81">
        <f t="shared" si="35"/>
        <v>3.415863604032646</v>
      </c>
      <c r="M37" s="81">
        <f t="shared" si="35"/>
        <v>3.1062601138000265</v>
      </c>
      <c r="N37" s="81">
        <f t="shared" si="35"/>
        <v>2.8086122143672148</v>
      </c>
      <c r="O37" s="81">
        <f t="shared" si="35"/>
        <v>2.472570544027199</v>
      </c>
      <c r="P37" s="81">
        <f t="shared" si="35"/>
        <v>2.1643262116450135</v>
      </c>
      <c r="Q37" s="81">
        <f t="shared" si="35"/>
        <v>1.9078579472255921</v>
      </c>
      <c r="R37" s="81">
        <f t="shared" si="35"/>
        <v>1.6761060685480502</v>
      </c>
      <c r="S37" s="81">
        <f t="shared" si="35"/>
        <v>1.4826473239973899</v>
      </c>
      <c r="T37" s="81">
        <f t="shared" si="35"/>
        <v>1.3197099583396563</v>
      </c>
      <c r="U37" s="81">
        <f t="shared" si="35"/>
        <v>1.0329657941988846</v>
      </c>
      <c r="V37" s="81">
        <f t="shared" si="35"/>
        <v>0.90991677942487814</v>
      </c>
      <c r="W37" s="81">
        <f t="shared" si="35"/>
        <v>0.78618886770352137</v>
      </c>
      <c r="X37" s="81">
        <f t="shared" si="35"/>
        <v>0.63279682002790982</v>
      </c>
      <c r="Y37" s="81">
        <f t="shared" si="35"/>
        <v>0.32794310378721797</v>
      </c>
      <c r="Z37" s="81">
        <f t="shared" si="35"/>
        <v>0.29589612775506186</v>
      </c>
      <c r="AA37" s="81">
        <f t="shared" si="35"/>
        <v>0.26368412938180602</v>
      </c>
      <c r="AB37" s="81">
        <f t="shared" si="35"/>
        <v>0.23147465650638899</v>
      </c>
      <c r="AC37" s="81">
        <f t="shared" si="35"/>
        <v>0.20719786413301297</v>
      </c>
      <c r="AD37" s="81">
        <f t="shared" si="35"/>
        <v>0.12351901776441203</v>
      </c>
      <c r="AE37" s="81">
        <f t="shared" si="35"/>
        <v>0</v>
      </c>
      <c r="AF37" s="81">
        <f t="shared" si="35"/>
        <v>0</v>
      </c>
      <c r="AG37" s="81">
        <f t="shared" si="35"/>
        <v>0</v>
      </c>
      <c r="AH37" s="81">
        <f t="shared" ref="AH37:AJ37" si="36">AH23+AH9</f>
        <v>0</v>
      </c>
      <c r="AI37" s="81">
        <f t="shared" si="36"/>
        <v>0</v>
      </c>
      <c r="AJ37" s="81">
        <f t="shared" si="36"/>
        <v>0</v>
      </c>
      <c r="AK37" s="81">
        <f t="shared" ref="AK37:AK38" si="37">SUM(D37:AJ37)</f>
        <v>50.52634818091564</v>
      </c>
    </row>
    <row r="38" spans="2:37" ht="14" outlineLevel="1" thickTop="1" thickBot="1">
      <c r="C38" s="10" t="s">
        <v>671</v>
      </c>
      <c r="D38" s="82">
        <f>D24+D10</f>
        <v>2.2681353828793522</v>
      </c>
      <c r="E38" s="82">
        <f t="shared" ref="E38:AG38" si="38">E24+E10</f>
        <v>2.7062823858147853</v>
      </c>
      <c r="F38" s="82">
        <f t="shared" si="38"/>
        <v>3.2372835355975065</v>
      </c>
      <c r="G38" s="82">
        <f t="shared" si="38"/>
        <v>3.3653326277678444</v>
      </c>
      <c r="H38" s="82">
        <f t="shared" si="38"/>
        <v>3.7529580286709798</v>
      </c>
      <c r="I38" s="82">
        <f t="shared" si="38"/>
        <v>3.8300108889434545</v>
      </c>
      <c r="J38" s="82">
        <f t="shared" si="38"/>
        <v>4.2168514904612024</v>
      </c>
      <c r="K38" s="82">
        <f t="shared" si="38"/>
        <v>4.1786724649830926</v>
      </c>
      <c r="L38" s="82">
        <f t="shared" si="38"/>
        <v>3.7597958100150661</v>
      </c>
      <c r="M38" s="82">
        <f t="shared" si="38"/>
        <v>3.3492096251989811</v>
      </c>
      <c r="N38" s="82">
        <f t="shared" si="38"/>
        <v>3.0273221531484191</v>
      </c>
      <c r="O38" s="82">
        <f t="shared" si="38"/>
        <v>2.734593670108675</v>
      </c>
      <c r="P38" s="82">
        <f t="shared" si="38"/>
        <v>2.4257190900940442</v>
      </c>
      <c r="Q38" s="82">
        <f t="shared" si="38"/>
        <v>2.158757879343395</v>
      </c>
      <c r="R38" s="82">
        <f t="shared" si="38"/>
        <v>1.9269761413793303</v>
      </c>
      <c r="S38" s="82">
        <f t="shared" si="38"/>
        <v>1.7223173793375453</v>
      </c>
      <c r="T38" s="82">
        <f t="shared" si="38"/>
        <v>1.5435473218790863</v>
      </c>
      <c r="U38" s="82">
        <f t="shared" si="38"/>
        <v>1.3353818393263428</v>
      </c>
      <c r="V38" s="82">
        <f t="shared" si="38"/>
        <v>1.1992673029416634</v>
      </c>
      <c r="W38" s="82">
        <f t="shared" si="38"/>
        <v>1.0736578780088606</v>
      </c>
      <c r="X38" s="82">
        <f t="shared" si="38"/>
        <v>0.92126568382469931</v>
      </c>
      <c r="Y38" s="82">
        <f t="shared" si="38"/>
        <v>0.69169422580558393</v>
      </c>
      <c r="Z38" s="82">
        <f t="shared" si="38"/>
        <v>0.62729100530304072</v>
      </c>
      <c r="AA38" s="82">
        <f t="shared" si="38"/>
        <v>0.56381678667847734</v>
      </c>
      <c r="AB38" s="82">
        <f t="shared" si="38"/>
        <v>0.50942318992764912</v>
      </c>
      <c r="AC38" s="82">
        <f t="shared" si="38"/>
        <v>0.460336145985766</v>
      </c>
      <c r="AD38" s="82">
        <f t="shared" si="38"/>
        <v>0.279202499962943</v>
      </c>
      <c r="AE38" s="82">
        <f t="shared" si="38"/>
        <v>0</v>
      </c>
      <c r="AF38" s="82">
        <f t="shared" si="38"/>
        <v>0</v>
      </c>
      <c r="AG38" s="82">
        <f t="shared" si="38"/>
        <v>0</v>
      </c>
      <c r="AH38" s="82">
        <f t="shared" ref="AH38:AJ38" si="39">AH24+AH10</f>
        <v>0</v>
      </c>
      <c r="AI38" s="82">
        <f t="shared" si="39"/>
        <v>0</v>
      </c>
      <c r="AJ38" s="82">
        <f t="shared" si="39"/>
        <v>0</v>
      </c>
      <c r="AK38" s="82">
        <f t="shared" si="37"/>
        <v>57.865102433387797</v>
      </c>
    </row>
    <row r="39" spans="2:37" ht="13.5" outlineLevel="1" thickBot="1">
      <c r="C39" s="28" t="s">
        <v>1036</v>
      </c>
      <c r="D39" s="42">
        <f>D38+D37</f>
        <v>4.7431441496659819</v>
      </c>
      <c r="E39" s="42">
        <f t="shared" ref="E39:AG39" si="40">E38+E37</f>
        <v>5.5565975835513379</v>
      </c>
      <c r="F39" s="42">
        <f t="shared" si="40"/>
        <v>6.2211431521155927</v>
      </c>
      <c r="G39" s="42">
        <f t="shared" si="40"/>
        <v>6.4555014965890303</v>
      </c>
      <c r="H39" s="42">
        <f t="shared" si="40"/>
        <v>6.9889376595547397</v>
      </c>
      <c r="I39" s="42">
        <f t="shared" si="40"/>
        <v>7.2571311361003819</v>
      </c>
      <c r="J39" s="42">
        <f t="shared" si="40"/>
        <v>7.8659794088387898</v>
      </c>
      <c r="K39" s="42">
        <f t="shared" si="40"/>
        <v>7.8279032529521118</v>
      </c>
      <c r="L39" s="42">
        <f t="shared" si="40"/>
        <v>7.1756594140477121</v>
      </c>
      <c r="M39" s="42">
        <f t="shared" si="40"/>
        <v>6.4554697389990077</v>
      </c>
      <c r="N39" s="42">
        <f t="shared" si="40"/>
        <v>5.8359343675156339</v>
      </c>
      <c r="O39" s="42">
        <f t="shared" si="40"/>
        <v>5.207164214135874</v>
      </c>
      <c r="P39" s="42">
        <f t="shared" si="40"/>
        <v>4.5900453017390577</v>
      </c>
      <c r="Q39" s="42">
        <f t="shared" si="40"/>
        <v>4.0666158265689871</v>
      </c>
      <c r="R39" s="42">
        <f t="shared" si="40"/>
        <v>3.6030822099273805</v>
      </c>
      <c r="S39" s="42">
        <f t="shared" si="40"/>
        <v>3.2049647033349351</v>
      </c>
      <c r="T39" s="42">
        <f t="shared" si="40"/>
        <v>2.8632572802187424</v>
      </c>
      <c r="U39" s="42">
        <f t="shared" si="40"/>
        <v>2.3683476335252274</v>
      </c>
      <c r="V39" s="42">
        <f t="shared" si="40"/>
        <v>2.1091840823665415</v>
      </c>
      <c r="W39" s="42">
        <f t="shared" si="40"/>
        <v>1.859846745712382</v>
      </c>
      <c r="X39" s="42">
        <f t="shared" si="40"/>
        <v>1.554062503852609</v>
      </c>
      <c r="Y39" s="42">
        <f t="shared" si="40"/>
        <v>1.0196373295928018</v>
      </c>
      <c r="Z39" s="42">
        <f t="shared" si="40"/>
        <v>0.92318713305810252</v>
      </c>
      <c r="AA39" s="42">
        <f t="shared" si="40"/>
        <v>0.82750091606028331</v>
      </c>
      <c r="AB39" s="42">
        <f t="shared" si="40"/>
        <v>0.74089784643403811</v>
      </c>
      <c r="AC39" s="42">
        <f t="shared" si="40"/>
        <v>0.667534010118779</v>
      </c>
      <c r="AD39" s="42">
        <f t="shared" si="40"/>
        <v>0.40272151772735504</v>
      </c>
      <c r="AE39" s="42">
        <f t="shared" si="40"/>
        <v>0</v>
      </c>
      <c r="AF39" s="42">
        <f t="shared" si="40"/>
        <v>0</v>
      </c>
      <c r="AG39" s="42">
        <f t="shared" si="40"/>
        <v>0</v>
      </c>
      <c r="AH39" s="42">
        <f t="shared" ref="AH39" si="41">AH38+AH37</f>
        <v>0</v>
      </c>
      <c r="AI39" s="42">
        <f t="shared" ref="AI39" si="42">AI38+AI37</f>
        <v>0</v>
      </c>
      <c r="AJ39" s="42">
        <f t="shared" ref="AJ39:AK39" si="43">AJ38+AJ37</f>
        <v>0</v>
      </c>
      <c r="AK39" s="42">
        <f t="shared" si="43"/>
        <v>108.39145061430344</v>
      </c>
    </row>
    <row r="40" spans="2:37" ht="5.25" customHeight="1" outlineLevel="1" thickBot="1">
      <c r="AK40" s="297"/>
    </row>
    <row r="41" spans="2:37" ht="14" outlineLevel="1" thickTop="1" thickBot="1">
      <c r="C41" s="10" t="s">
        <v>670</v>
      </c>
      <c r="D41" s="81">
        <f>D27+D13</f>
        <v>3.1864873798305635</v>
      </c>
      <c r="E41" s="81">
        <f t="shared" ref="E41:AJ41" si="44">E27+E13</f>
        <v>3.4813925927395726</v>
      </c>
      <c r="F41" s="81">
        <f t="shared" si="44"/>
        <v>3.8791167715440489</v>
      </c>
      <c r="G41" s="81">
        <f t="shared" si="44"/>
        <v>4.1913581374324806</v>
      </c>
      <c r="H41" s="81">
        <f t="shared" si="44"/>
        <v>4.5801937488578481</v>
      </c>
      <c r="I41" s="81">
        <f t="shared" si="44"/>
        <v>4.2735980102609608</v>
      </c>
      <c r="J41" s="81">
        <f t="shared" si="44"/>
        <v>3.8143553704139359</v>
      </c>
      <c r="K41" s="81">
        <f t="shared" si="44"/>
        <v>3.4447574037271282</v>
      </c>
      <c r="L41" s="81">
        <f t="shared" si="44"/>
        <v>3.0549702395752716</v>
      </c>
      <c r="M41" s="81">
        <f t="shared" si="44"/>
        <v>2.7191273716517061</v>
      </c>
      <c r="N41" s="81">
        <f t="shared" si="44"/>
        <v>2.4356828714064309</v>
      </c>
      <c r="O41" s="81">
        <f t="shared" si="44"/>
        <v>2.1444405090811673</v>
      </c>
      <c r="P41" s="81">
        <f t="shared" si="44"/>
        <v>1.8745282058545336</v>
      </c>
      <c r="Q41" s="81">
        <f t="shared" si="44"/>
        <v>1.6535873386909465</v>
      </c>
      <c r="R41" s="81">
        <f t="shared" si="44"/>
        <v>1.4615748202188603</v>
      </c>
      <c r="S41" s="81">
        <f t="shared" si="44"/>
        <v>1.2903159405175268</v>
      </c>
      <c r="T41" s="81">
        <f t="shared" si="44"/>
        <v>1.1424751216233857</v>
      </c>
      <c r="U41" s="81">
        <f t="shared" si="44"/>
        <v>1.0230004816921485</v>
      </c>
      <c r="V41" s="81">
        <f t="shared" si="44"/>
        <v>0.88148547735583715</v>
      </c>
      <c r="W41" s="81">
        <f t="shared" si="44"/>
        <v>0.75629479602984506</v>
      </c>
      <c r="X41" s="81">
        <f t="shared" si="44"/>
        <v>0.53195160587895995</v>
      </c>
      <c r="Y41" s="81">
        <f t="shared" si="44"/>
        <v>6.5234249445443995E-2</v>
      </c>
      <c r="Z41" s="81">
        <f t="shared" si="44"/>
        <v>5.0247414708792001E-2</v>
      </c>
      <c r="AA41" s="81">
        <f t="shared" si="44"/>
        <v>0</v>
      </c>
      <c r="AB41" s="81">
        <f t="shared" si="44"/>
        <v>0</v>
      </c>
      <c r="AC41" s="81">
        <f t="shared" si="44"/>
        <v>0</v>
      </c>
      <c r="AD41" s="81">
        <f t="shared" si="44"/>
        <v>0</v>
      </c>
      <c r="AE41" s="81">
        <f t="shared" si="44"/>
        <v>0</v>
      </c>
      <c r="AF41" s="81">
        <f t="shared" si="44"/>
        <v>0</v>
      </c>
      <c r="AG41" s="81">
        <f t="shared" si="44"/>
        <v>0</v>
      </c>
      <c r="AH41" s="81">
        <f t="shared" si="44"/>
        <v>0</v>
      </c>
      <c r="AI41" s="81">
        <f t="shared" si="44"/>
        <v>0</v>
      </c>
      <c r="AJ41" s="81">
        <f t="shared" si="44"/>
        <v>0</v>
      </c>
      <c r="AK41" s="297">
        <f t="shared" ref="AK41:AK42" si="45">SUM(D41:AJ41)</f>
        <v>51.936175858537389</v>
      </c>
    </row>
    <row r="42" spans="2:37" ht="14" outlineLevel="1" thickTop="1" thickBot="1">
      <c r="C42" s="10" t="s">
        <v>671</v>
      </c>
      <c r="D42" s="82">
        <f>D28+D14</f>
        <v>1.7543490844455385</v>
      </c>
      <c r="E42" s="82">
        <f t="shared" ref="E42:AJ42" si="46">E28+E14</f>
        <v>1.8063805362091812</v>
      </c>
      <c r="F42" s="82">
        <f t="shared" si="46"/>
        <v>1.8094223490100323</v>
      </c>
      <c r="G42" s="82">
        <f t="shared" si="46"/>
        <v>1.8463686335712617</v>
      </c>
      <c r="H42" s="82">
        <f t="shared" si="46"/>
        <v>1.9308946314474706</v>
      </c>
      <c r="I42" s="82">
        <f t="shared" si="46"/>
        <v>1.8521049943326702</v>
      </c>
      <c r="J42" s="82">
        <f t="shared" si="46"/>
        <v>1.5833364335630815</v>
      </c>
      <c r="K42" s="82">
        <f t="shared" si="46"/>
        <v>1.3954291297475958</v>
      </c>
      <c r="L42" s="82">
        <f t="shared" si="46"/>
        <v>1.1897672641073775</v>
      </c>
      <c r="M42" s="82">
        <f t="shared" si="46"/>
        <v>1.0272464399016767</v>
      </c>
      <c r="N42" s="82">
        <f t="shared" si="46"/>
        <v>0.89896343716451466</v>
      </c>
      <c r="O42" s="82">
        <f t="shared" si="46"/>
        <v>0.78629309269156322</v>
      </c>
      <c r="P42" s="82">
        <f t="shared" si="46"/>
        <v>0.68932493994840693</v>
      </c>
      <c r="Q42" s="82">
        <f t="shared" si="46"/>
        <v>0.60979188759035174</v>
      </c>
      <c r="R42" s="82">
        <f t="shared" si="46"/>
        <v>0.53888725602450915</v>
      </c>
      <c r="S42" s="82">
        <f t="shared" si="46"/>
        <v>0.47196713927897282</v>
      </c>
      <c r="T42" s="82">
        <f t="shared" si="46"/>
        <v>0.42176871479584466</v>
      </c>
      <c r="U42" s="82">
        <f t="shared" si="46"/>
        <v>0.37560376889579294</v>
      </c>
      <c r="V42" s="82">
        <f t="shared" si="46"/>
        <v>0.33210542010530553</v>
      </c>
      <c r="W42" s="82">
        <f t="shared" si="46"/>
        <v>0.29601411830152036</v>
      </c>
      <c r="X42" s="82">
        <f t="shared" si="46"/>
        <v>0.20605270349989799</v>
      </c>
      <c r="Y42" s="82">
        <f t="shared" si="46"/>
        <v>1.5011803966561117E-2</v>
      </c>
      <c r="Z42" s="82">
        <f t="shared" si="46"/>
        <v>1.1967990174570019E-2</v>
      </c>
      <c r="AA42" s="82">
        <f t="shared" si="46"/>
        <v>0</v>
      </c>
      <c r="AB42" s="82">
        <f t="shared" si="46"/>
        <v>0</v>
      </c>
      <c r="AC42" s="82">
        <f t="shared" si="46"/>
        <v>0</v>
      </c>
      <c r="AD42" s="82">
        <f t="shared" si="46"/>
        <v>0</v>
      </c>
      <c r="AE42" s="82">
        <f t="shared" si="46"/>
        <v>0</v>
      </c>
      <c r="AF42" s="82">
        <f t="shared" si="46"/>
        <v>0</v>
      </c>
      <c r="AG42" s="82">
        <f t="shared" si="46"/>
        <v>0</v>
      </c>
      <c r="AH42" s="82">
        <f t="shared" si="46"/>
        <v>0</v>
      </c>
      <c r="AI42" s="82">
        <f t="shared" si="46"/>
        <v>0</v>
      </c>
      <c r="AJ42" s="82">
        <f t="shared" si="46"/>
        <v>0</v>
      </c>
      <c r="AK42" s="297">
        <f t="shared" si="45"/>
        <v>21.849051768773691</v>
      </c>
    </row>
    <row r="43" spans="2:37" ht="13.5" outlineLevel="1" thickBot="1">
      <c r="C43" s="28" t="s">
        <v>37</v>
      </c>
      <c r="D43" s="42">
        <f>D42+D41</f>
        <v>4.940836464276102</v>
      </c>
      <c r="E43" s="42">
        <f t="shared" ref="E43:AK43" si="47">E42+E41</f>
        <v>5.2877731289487535</v>
      </c>
      <c r="F43" s="42">
        <f t="shared" si="47"/>
        <v>5.688539120554081</v>
      </c>
      <c r="G43" s="42">
        <f t="shared" si="47"/>
        <v>6.0377267710037419</v>
      </c>
      <c r="H43" s="42">
        <f t="shared" si="47"/>
        <v>6.5110883803053188</v>
      </c>
      <c r="I43" s="42">
        <f t="shared" si="47"/>
        <v>6.1257030045936309</v>
      </c>
      <c r="J43" s="42">
        <f t="shared" si="47"/>
        <v>5.3976918039770174</v>
      </c>
      <c r="K43" s="42">
        <f t="shared" si="47"/>
        <v>4.8401865334747241</v>
      </c>
      <c r="L43" s="42">
        <f t="shared" si="47"/>
        <v>4.2447375036826491</v>
      </c>
      <c r="M43" s="42">
        <f t="shared" si="47"/>
        <v>3.7463738115533829</v>
      </c>
      <c r="N43" s="42">
        <f t="shared" si="47"/>
        <v>3.3346463085709455</v>
      </c>
      <c r="O43" s="42">
        <f t="shared" si="47"/>
        <v>2.9307336017727303</v>
      </c>
      <c r="P43" s="42">
        <f t="shared" si="47"/>
        <v>2.5638531458029403</v>
      </c>
      <c r="Q43" s="42">
        <f t="shared" si="47"/>
        <v>2.2633792262812982</v>
      </c>
      <c r="R43" s="42">
        <f t="shared" si="47"/>
        <v>2.0004620762433696</v>
      </c>
      <c r="S43" s="42">
        <f t="shared" si="47"/>
        <v>1.7622830797964997</v>
      </c>
      <c r="T43" s="42">
        <f t="shared" si="47"/>
        <v>1.5642438364192304</v>
      </c>
      <c r="U43" s="42">
        <f t="shared" si="47"/>
        <v>1.3986042505879415</v>
      </c>
      <c r="V43" s="42">
        <f t="shared" si="47"/>
        <v>1.2135908974611427</v>
      </c>
      <c r="W43" s="42">
        <f t="shared" si="47"/>
        <v>1.0523089143313653</v>
      </c>
      <c r="X43" s="42">
        <f t="shared" si="47"/>
        <v>0.73800430937885797</v>
      </c>
      <c r="Y43" s="42">
        <f t="shared" si="47"/>
        <v>8.0246053412005108E-2</v>
      </c>
      <c r="Z43" s="42">
        <f t="shared" si="47"/>
        <v>6.2215404883362024E-2</v>
      </c>
      <c r="AA43" s="42">
        <f t="shared" si="47"/>
        <v>0</v>
      </c>
      <c r="AB43" s="42">
        <f t="shared" si="47"/>
        <v>0</v>
      </c>
      <c r="AC43" s="42">
        <f t="shared" si="47"/>
        <v>0</v>
      </c>
      <c r="AD43" s="42">
        <f t="shared" si="47"/>
        <v>0</v>
      </c>
      <c r="AE43" s="42">
        <f t="shared" si="47"/>
        <v>0</v>
      </c>
      <c r="AF43" s="42">
        <f t="shared" si="47"/>
        <v>0</v>
      </c>
      <c r="AG43" s="42">
        <f t="shared" si="47"/>
        <v>0</v>
      </c>
      <c r="AH43" s="42">
        <f t="shared" si="47"/>
        <v>0</v>
      </c>
      <c r="AI43" s="42">
        <f t="shared" si="47"/>
        <v>0</v>
      </c>
      <c r="AJ43" s="42">
        <f t="shared" si="47"/>
        <v>0</v>
      </c>
      <c r="AK43" s="42">
        <f t="shared" si="47"/>
        <v>73.785227627311087</v>
      </c>
    </row>
    <row r="44" spans="2:37" ht="5.25" customHeight="1" outlineLevel="1" thickBot="1">
      <c r="AK44" s="297"/>
    </row>
    <row r="45" spans="2:37" ht="14" thickTop="1" thickBot="1">
      <c r="C45" s="10" t="s">
        <v>670</v>
      </c>
      <c r="D45" s="81">
        <f>D41+D37</f>
        <v>5.6614961466171927</v>
      </c>
      <c r="E45" s="81">
        <f t="shared" ref="E45:AJ45" si="48">E41+E37</f>
        <v>6.3317077904761252</v>
      </c>
      <c r="F45" s="81">
        <f t="shared" si="48"/>
        <v>6.8629763880621351</v>
      </c>
      <c r="G45" s="81">
        <f t="shared" si="48"/>
        <v>7.2815270062536666</v>
      </c>
      <c r="H45" s="81">
        <f t="shared" si="48"/>
        <v>7.816173379741608</v>
      </c>
      <c r="I45" s="81">
        <f t="shared" si="48"/>
        <v>7.7007182574178881</v>
      </c>
      <c r="J45" s="81">
        <f t="shared" si="48"/>
        <v>7.4634832887915232</v>
      </c>
      <c r="K45" s="81">
        <f t="shared" si="48"/>
        <v>7.0939881916961482</v>
      </c>
      <c r="L45" s="81">
        <f t="shared" si="48"/>
        <v>6.4708338436079176</v>
      </c>
      <c r="M45" s="81">
        <f t="shared" si="48"/>
        <v>5.8253874854517331</v>
      </c>
      <c r="N45" s="81">
        <f t="shared" si="48"/>
        <v>5.2442950857736452</v>
      </c>
      <c r="O45" s="81">
        <f t="shared" si="48"/>
        <v>4.6170110531083663</v>
      </c>
      <c r="P45" s="81">
        <f t="shared" si="48"/>
        <v>4.0388544174995467</v>
      </c>
      <c r="Q45" s="81">
        <f t="shared" si="48"/>
        <v>3.5614452859165384</v>
      </c>
      <c r="R45" s="81">
        <f t="shared" si="48"/>
        <v>3.1376808887669103</v>
      </c>
      <c r="S45" s="81">
        <f t="shared" si="48"/>
        <v>2.7729632645149165</v>
      </c>
      <c r="T45" s="81">
        <f t="shared" si="48"/>
        <v>2.4621850799630423</v>
      </c>
      <c r="U45" s="81">
        <f t="shared" si="48"/>
        <v>2.0559662758910333</v>
      </c>
      <c r="V45" s="81">
        <f t="shared" si="48"/>
        <v>1.7914022567807153</v>
      </c>
      <c r="W45" s="81">
        <f t="shared" si="48"/>
        <v>1.5424836637333663</v>
      </c>
      <c r="X45" s="81">
        <f t="shared" si="48"/>
        <v>1.1647484259068697</v>
      </c>
      <c r="Y45" s="81">
        <f t="shared" si="48"/>
        <v>0.39317735323266195</v>
      </c>
      <c r="Z45" s="81">
        <f t="shared" si="48"/>
        <v>0.34614354246385387</v>
      </c>
      <c r="AA45" s="81">
        <f t="shared" si="48"/>
        <v>0.26368412938180602</v>
      </c>
      <c r="AB45" s="81">
        <f t="shared" si="48"/>
        <v>0.23147465650638899</v>
      </c>
      <c r="AC45" s="81">
        <f t="shared" si="48"/>
        <v>0.20719786413301297</v>
      </c>
      <c r="AD45" s="81">
        <f t="shared" si="48"/>
        <v>0.12351901776441203</v>
      </c>
      <c r="AE45" s="81">
        <f t="shared" si="48"/>
        <v>0</v>
      </c>
      <c r="AF45" s="81">
        <f t="shared" si="48"/>
        <v>0</v>
      </c>
      <c r="AG45" s="81">
        <f t="shared" si="48"/>
        <v>0</v>
      </c>
      <c r="AH45" s="81">
        <f t="shared" si="48"/>
        <v>0</v>
      </c>
      <c r="AI45" s="81">
        <f t="shared" si="48"/>
        <v>0</v>
      </c>
      <c r="AJ45" s="81">
        <f t="shared" si="48"/>
        <v>0</v>
      </c>
      <c r="AK45" s="297">
        <f t="shared" ref="AK45:AK46" si="49">SUM(D45:AJ45)</f>
        <v>102.46252403945299</v>
      </c>
    </row>
    <row r="46" spans="2:37" ht="14" thickTop="1" thickBot="1">
      <c r="C46" s="10" t="s">
        <v>671</v>
      </c>
      <c r="D46" s="82">
        <f>D42+D38</f>
        <v>4.0224844673248903</v>
      </c>
      <c r="E46" s="82">
        <f t="shared" ref="E46:AJ46" si="50">E42+E38</f>
        <v>4.5126629220239662</v>
      </c>
      <c r="F46" s="82">
        <f t="shared" si="50"/>
        <v>5.0467058846075386</v>
      </c>
      <c r="G46" s="82">
        <f t="shared" si="50"/>
        <v>5.2117012613391065</v>
      </c>
      <c r="H46" s="82">
        <f t="shared" si="50"/>
        <v>5.6838526601184505</v>
      </c>
      <c r="I46" s="82">
        <f t="shared" si="50"/>
        <v>5.6821158832761247</v>
      </c>
      <c r="J46" s="82">
        <f t="shared" si="50"/>
        <v>5.800187924024284</v>
      </c>
      <c r="K46" s="82">
        <f t="shared" si="50"/>
        <v>5.5741015947306884</v>
      </c>
      <c r="L46" s="82">
        <f t="shared" si="50"/>
        <v>4.9495630741224437</v>
      </c>
      <c r="M46" s="82">
        <f t="shared" si="50"/>
        <v>4.3764560651006583</v>
      </c>
      <c r="N46" s="82">
        <f t="shared" si="50"/>
        <v>3.9262855903129337</v>
      </c>
      <c r="O46" s="82">
        <f t="shared" si="50"/>
        <v>3.520886762800238</v>
      </c>
      <c r="P46" s="82">
        <f t="shared" si="50"/>
        <v>3.1150440300424513</v>
      </c>
      <c r="Q46" s="82">
        <f t="shared" si="50"/>
        <v>2.7685497669337469</v>
      </c>
      <c r="R46" s="82">
        <f t="shared" si="50"/>
        <v>2.4658633974038393</v>
      </c>
      <c r="S46" s="82">
        <f t="shared" si="50"/>
        <v>2.1942845186165183</v>
      </c>
      <c r="T46" s="82">
        <f t="shared" si="50"/>
        <v>1.9653160366749309</v>
      </c>
      <c r="U46" s="82">
        <f t="shared" si="50"/>
        <v>1.7109856082221357</v>
      </c>
      <c r="V46" s="82">
        <f t="shared" si="50"/>
        <v>1.5313727230469689</v>
      </c>
      <c r="W46" s="82">
        <f t="shared" si="50"/>
        <v>1.3696719963103809</v>
      </c>
      <c r="X46" s="82">
        <f t="shared" si="50"/>
        <v>1.1273183873245973</v>
      </c>
      <c r="Y46" s="82">
        <f t="shared" si="50"/>
        <v>0.70670602977214503</v>
      </c>
      <c r="Z46" s="82">
        <f t="shared" si="50"/>
        <v>0.63925899547761078</v>
      </c>
      <c r="AA46" s="82">
        <f t="shared" si="50"/>
        <v>0.56381678667847734</v>
      </c>
      <c r="AB46" s="82">
        <f t="shared" si="50"/>
        <v>0.50942318992764912</v>
      </c>
      <c r="AC46" s="82">
        <f t="shared" si="50"/>
        <v>0.460336145985766</v>
      </c>
      <c r="AD46" s="82">
        <f t="shared" si="50"/>
        <v>0.279202499962943</v>
      </c>
      <c r="AE46" s="82">
        <f t="shared" si="50"/>
        <v>0</v>
      </c>
      <c r="AF46" s="82">
        <f t="shared" si="50"/>
        <v>0</v>
      </c>
      <c r="AG46" s="82">
        <f t="shared" si="50"/>
        <v>0</v>
      </c>
      <c r="AH46" s="82">
        <f t="shared" si="50"/>
        <v>0</v>
      </c>
      <c r="AI46" s="82">
        <f t="shared" si="50"/>
        <v>0</v>
      </c>
      <c r="AJ46" s="82">
        <f t="shared" si="50"/>
        <v>0</v>
      </c>
      <c r="AK46" s="297">
        <f t="shared" si="49"/>
        <v>79.714154202161481</v>
      </c>
    </row>
    <row r="47" spans="2:37" ht="13.5" thickBot="1">
      <c r="C47" s="28" t="s">
        <v>679</v>
      </c>
      <c r="D47" s="42">
        <f>D46+D45</f>
        <v>9.683980613942083</v>
      </c>
      <c r="E47" s="42">
        <f t="shared" ref="E47:AK47" si="51">E46+E45</f>
        <v>10.844370712500091</v>
      </c>
      <c r="F47" s="42">
        <f t="shared" si="51"/>
        <v>11.909682272669674</v>
      </c>
      <c r="G47" s="42">
        <f t="shared" si="51"/>
        <v>12.493228267592773</v>
      </c>
      <c r="H47" s="42">
        <f t="shared" si="51"/>
        <v>13.500026039860058</v>
      </c>
      <c r="I47" s="42">
        <f t="shared" si="51"/>
        <v>13.382834140694012</v>
      </c>
      <c r="J47" s="42">
        <f t="shared" si="51"/>
        <v>13.263671212815808</v>
      </c>
      <c r="K47" s="42">
        <f t="shared" si="51"/>
        <v>12.668089786426837</v>
      </c>
      <c r="L47" s="42">
        <f t="shared" si="51"/>
        <v>11.420396917730361</v>
      </c>
      <c r="M47" s="42">
        <f t="shared" si="51"/>
        <v>10.201843550552391</v>
      </c>
      <c r="N47" s="42">
        <f t="shared" si="51"/>
        <v>9.1705806760865798</v>
      </c>
      <c r="O47" s="42">
        <f t="shared" si="51"/>
        <v>8.1378978159086053</v>
      </c>
      <c r="P47" s="42">
        <f t="shared" si="51"/>
        <v>7.153898447541998</v>
      </c>
      <c r="Q47" s="42">
        <f t="shared" si="51"/>
        <v>6.3299950528502853</v>
      </c>
      <c r="R47" s="42">
        <f t="shared" si="51"/>
        <v>5.6035442861707496</v>
      </c>
      <c r="S47" s="42">
        <f t="shared" si="51"/>
        <v>4.9672477831314348</v>
      </c>
      <c r="T47" s="42">
        <f t="shared" si="51"/>
        <v>4.4275011166379734</v>
      </c>
      <c r="U47" s="42">
        <f t="shared" si="51"/>
        <v>3.7669518841131691</v>
      </c>
      <c r="V47" s="42">
        <f t="shared" si="51"/>
        <v>3.3227749798276842</v>
      </c>
      <c r="W47" s="42">
        <f t="shared" si="51"/>
        <v>2.912155660043747</v>
      </c>
      <c r="X47" s="42">
        <f t="shared" si="51"/>
        <v>2.2920668132314672</v>
      </c>
      <c r="Y47" s="42">
        <f t="shared" si="51"/>
        <v>1.0998833830048069</v>
      </c>
      <c r="Z47" s="42">
        <f t="shared" si="51"/>
        <v>0.9854025379414646</v>
      </c>
      <c r="AA47" s="42">
        <f t="shared" si="51"/>
        <v>0.82750091606028331</v>
      </c>
      <c r="AB47" s="42">
        <f t="shared" si="51"/>
        <v>0.74089784643403811</v>
      </c>
      <c r="AC47" s="42">
        <f t="shared" si="51"/>
        <v>0.667534010118779</v>
      </c>
      <c r="AD47" s="42">
        <f t="shared" si="51"/>
        <v>0.40272151772735504</v>
      </c>
      <c r="AE47" s="42">
        <f t="shared" si="51"/>
        <v>0</v>
      </c>
      <c r="AF47" s="42">
        <f t="shared" si="51"/>
        <v>0</v>
      </c>
      <c r="AG47" s="42">
        <f t="shared" si="51"/>
        <v>0</v>
      </c>
      <c r="AH47" s="42">
        <f t="shared" si="51"/>
        <v>0</v>
      </c>
      <c r="AI47" s="42">
        <f t="shared" si="51"/>
        <v>0</v>
      </c>
      <c r="AJ47" s="42">
        <f t="shared" si="51"/>
        <v>0</v>
      </c>
      <c r="AK47" s="42">
        <f t="shared" si="51"/>
        <v>182.17667824161447</v>
      </c>
    </row>
    <row r="48" spans="2:37">
      <c r="D48" s="298"/>
    </row>
    <row r="49" spans="3:33">
      <c r="C49" s="3" t="s">
        <v>1136</v>
      </c>
      <c r="D49" s="3">
        <f>5.615</f>
        <v>5.6150000000000002</v>
      </c>
    </row>
    <row r="51" spans="3:33" ht="40.5" customHeight="1">
      <c r="C51" s="299" t="s">
        <v>680</v>
      </c>
      <c r="D51" s="254" t="s">
        <v>1216</v>
      </c>
      <c r="E51" s="254" t="s">
        <v>1217</v>
      </c>
      <c r="F51" s="254" t="s">
        <v>1218</v>
      </c>
      <c r="H51" s="425" t="s">
        <v>681</v>
      </c>
      <c r="I51" s="425"/>
      <c r="J51" s="425"/>
      <c r="K51" s="254" t="s">
        <v>1219</v>
      </c>
      <c r="L51" s="254" t="s">
        <v>1220</v>
      </c>
      <c r="M51" s="254" t="s">
        <v>1218</v>
      </c>
    </row>
    <row r="52" spans="3:33" ht="3" customHeight="1" thickBot="1">
      <c r="C52" s="300"/>
      <c r="D52" s="85"/>
      <c r="E52" s="85"/>
      <c r="F52" s="86"/>
      <c r="H52" s="300"/>
      <c r="K52" s="85"/>
      <c r="L52" s="85"/>
      <c r="M52" s="86"/>
    </row>
    <row r="53" spans="3:33" ht="14" thickTop="1" thickBot="1">
      <c r="C53" s="87" t="s">
        <v>1036</v>
      </c>
      <c r="D53" s="88">
        <f>AK9</f>
        <v>41.454304450484948</v>
      </c>
      <c r="E53" s="88">
        <f>AK10</f>
        <v>45.80184307900133</v>
      </c>
      <c r="F53" s="88">
        <f>SUM(D53:E53)</f>
        <v>87.25614752948627</v>
      </c>
      <c r="H53" s="426" t="s">
        <v>1036</v>
      </c>
      <c r="I53" s="426"/>
      <c r="J53" s="427"/>
      <c r="K53" s="88">
        <f>AK37</f>
        <v>50.52634818091564</v>
      </c>
      <c r="L53" s="88">
        <f>AK38</f>
        <v>57.865102433387797</v>
      </c>
      <c r="M53" s="88">
        <f>SUM(K53:L53)</f>
        <v>108.39145061430344</v>
      </c>
    </row>
    <row r="54" spans="3:33" ht="14" thickTop="1" thickBot="1">
      <c r="C54" s="87" t="s">
        <v>37</v>
      </c>
      <c r="D54" s="88">
        <f>AK13</f>
        <v>38.627983151347536</v>
      </c>
      <c r="E54" s="88">
        <f>AK14</f>
        <v>17.437903087989675</v>
      </c>
      <c r="F54" s="88">
        <f>SUM(D54:E54)</f>
        <v>56.06588623933721</v>
      </c>
      <c r="H54" s="426" t="s">
        <v>37</v>
      </c>
      <c r="I54" s="426"/>
      <c r="J54" s="427"/>
      <c r="K54" s="88">
        <f>AK41</f>
        <v>51.936175858537389</v>
      </c>
      <c r="L54" s="88">
        <f>AK42</f>
        <v>21.849051768773691</v>
      </c>
      <c r="M54" s="88">
        <f>SUM(K54:L54)</f>
        <v>73.785227627311087</v>
      </c>
    </row>
    <row r="55" spans="3:33" ht="3" customHeight="1" thickTop="1" thickBot="1">
      <c r="C55" s="300"/>
      <c r="D55" s="85"/>
      <c r="E55" s="85"/>
      <c r="F55" s="86"/>
      <c r="H55" s="300"/>
      <c r="K55" s="85"/>
      <c r="L55" s="85"/>
      <c r="M55" s="86"/>
    </row>
    <row r="56" spans="3:33" ht="13.5" thickBot="1">
      <c r="C56" s="89" t="s">
        <v>556</v>
      </c>
      <c r="D56" s="90">
        <f>SUM(D53:D54)</f>
        <v>80.082287601832491</v>
      </c>
      <c r="E56" s="90">
        <f>SUM(E53:E54)</f>
        <v>63.239746166991004</v>
      </c>
      <c r="F56" s="90">
        <f>SUM(F53:F54)</f>
        <v>143.32203376882347</v>
      </c>
      <c r="H56" s="93" t="s">
        <v>557</v>
      </c>
      <c r="I56" s="91"/>
      <c r="J56" s="92"/>
      <c r="K56" s="90">
        <f>SUM(K53:K54)</f>
        <v>102.46252403945303</v>
      </c>
      <c r="L56" s="90">
        <f>SUM(L53:L54)</f>
        <v>79.714154202161495</v>
      </c>
      <c r="M56" s="90">
        <f>SUM(M53:M54)</f>
        <v>182.17667824161452</v>
      </c>
    </row>
    <row r="57" spans="3:33">
      <c r="C57" s="23"/>
      <c r="L57" s="301"/>
    </row>
    <row r="58" spans="3:33">
      <c r="C58" s="44" t="s">
        <v>676</v>
      </c>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row>
    <row r="59" spans="3:33">
      <c r="C59" s="44" t="s">
        <v>677</v>
      </c>
    </row>
    <row r="62" spans="3:33">
      <c r="C62" s="44" t="s">
        <v>1039</v>
      </c>
    </row>
    <row r="63" spans="3:33">
      <c r="C63" s="44" t="s">
        <v>1040</v>
      </c>
    </row>
    <row r="64" spans="3:33">
      <c r="C64" s="44" t="s">
        <v>1041</v>
      </c>
    </row>
    <row r="65" spans="3:3">
      <c r="C65" s="44" t="s">
        <v>1042</v>
      </c>
    </row>
  </sheetData>
  <mergeCells count="3">
    <mergeCell ref="H53:J53"/>
    <mergeCell ref="H54:J54"/>
    <mergeCell ref="H51:J51"/>
  </mergeCells>
  <pageMargins left="0.511811024" right="0.511811024" top="0.78740157499999996" bottom="0.78740157499999996" header="0.31496062000000002" footer="0.31496062000000002"/>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6B37A-B662-41AB-8EA5-9B6557A8B3D0}">
  <dimension ref="A2:AM65"/>
  <sheetViews>
    <sheetView showGridLines="0" zoomScale="62" workbookViewId="0">
      <pane xSplit="2" ySplit="14" topLeftCell="C15" activePane="bottomRight" state="frozen"/>
      <selection activeCell="B30" sqref="B30"/>
      <selection pane="topRight" activeCell="B30" sqref="B30"/>
      <selection pane="bottomLeft" activeCell="B30" sqref="B30"/>
      <selection pane="bottomRight" activeCell="B30" sqref="B30"/>
    </sheetView>
  </sheetViews>
  <sheetFormatPr defaultColWidth="9.1796875" defaultRowHeight="13" outlineLevelRow="1" outlineLevelCol="1"/>
  <cols>
    <col min="1" max="1" width="10.1796875" style="3" customWidth="1"/>
    <col min="2" max="2" width="2" style="3" customWidth="1"/>
    <col min="3" max="3" width="0.7265625" style="3" customWidth="1"/>
    <col min="4" max="4" width="9.453125" style="3" customWidth="1" outlineLevel="1"/>
    <col min="5" max="5" width="16.54296875" style="3" customWidth="1" outlineLevel="1"/>
    <col min="6" max="7" width="9.26953125" style="3" customWidth="1" outlineLevel="1"/>
    <col min="8" max="8" width="9.453125" style="3" customWidth="1"/>
    <col min="9" max="9" width="2" style="3" customWidth="1"/>
    <col min="10" max="10" width="0.7265625" style="3" customWidth="1"/>
    <col min="11" max="12" width="9.453125" style="3" customWidth="1" outlineLevel="1"/>
    <col min="13" max="14" width="9.26953125" style="3" customWidth="1" outlineLevel="1"/>
    <col min="15" max="15" width="9.453125" style="3" customWidth="1"/>
    <col min="16" max="16" width="2" style="3" customWidth="1"/>
    <col min="17" max="17" width="0.7265625" style="3" customWidth="1"/>
    <col min="18" max="19" width="9.453125" style="3" customWidth="1" outlineLevel="1"/>
    <col min="20" max="21" width="9.26953125" style="3" customWidth="1" outlineLevel="1"/>
    <col min="22" max="22" width="9.54296875" style="3" customWidth="1"/>
    <col min="23" max="16384" width="9.1796875" style="3"/>
  </cols>
  <sheetData>
    <row r="2" spans="1:39" ht="18.5">
      <c r="C2" s="429"/>
      <c r="D2" s="429"/>
      <c r="E2" s="429"/>
      <c r="F2" s="429"/>
      <c r="G2" s="429"/>
      <c r="H2" s="429"/>
      <c r="I2" s="429"/>
      <c r="J2" s="429"/>
      <c r="K2" s="429"/>
      <c r="L2" s="429"/>
      <c r="M2" s="429"/>
      <c r="N2" s="429"/>
      <c r="O2" s="429"/>
      <c r="P2" s="429"/>
      <c r="Q2" s="429"/>
      <c r="R2" s="429"/>
      <c r="S2" s="429"/>
      <c r="T2" s="429"/>
      <c r="U2" s="429"/>
      <c r="V2" s="429"/>
      <c r="W2" s="429"/>
      <c r="X2" s="429"/>
      <c r="Y2" s="429"/>
      <c r="Z2" s="110"/>
      <c r="AA2" s="110"/>
      <c r="AB2" s="110"/>
      <c r="AC2" s="110"/>
      <c r="AD2" s="110"/>
      <c r="AE2" s="110"/>
      <c r="AF2" s="110"/>
      <c r="AG2" s="110"/>
      <c r="AH2" s="110"/>
      <c r="AI2" s="110"/>
      <c r="AJ2" s="110"/>
      <c r="AK2" s="110"/>
      <c r="AL2" s="110"/>
      <c r="AM2" s="110"/>
    </row>
    <row r="3" spans="1:39">
      <c r="C3" s="430"/>
      <c r="D3" s="430"/>
      <c r="E3" s="430"/>
      <c r="F3" s="430"/>
      <c r="G3" s="430"/>
      <c r="H3" s="430"/>
      <c r="I3" s="430"/>
      <c r="J3" s="430"/>
      <c r="K3" s="430"/>
      <c r="L3" s="430"/>
      <c r="M3" s="430"/>
      <c r="N3" s="430"/>
      <c r="O3" s="430"/>
      <c r="P3" s="430"/>
      <c r="Q3" s="430"/>
      <c r="R3" s="430"/>
      <c r="S3" s="430"/>
      <c r="T3" s="430"/>
      <c r="U3" s="430"/>
      <c r="V3" s="430"/>
    </row>
    <row r="4" spans="1:39">
      <c r="C4" s="430"/>
      <c r="D4" s="430"/>
      <c r="E4" s="430"/>
      <c r="F4" s="430"/>
      <c r="G4" s="430"/>
      <c r="H4" s="430"/>
      <c r="I4" s="430"/>
      <c r="J4" s="430"/>
      <c r="K4" s="430"/>
      <c r="L4" s="430"/>
      <c r="M4" s="430"/>
      <c r="N4" s="430"/>
      <c r="O4" s="430"/>
      <c r="P4" s="430"/>
      <c r="Q4" s="430"/>
      <c r="R4" s="430"/>
      <c r="S4" s="430"/>
      <c r="T4" s="430"/>
      <c r="U4" s="430"/>
      <c r="V4" s="430"/>
    </row>
    <row r="5" spans="1:39" ht="13.5" thickBot="1"/>
    <row r="6" spans="1:39" ht="13.5" thickBot="1">
      <c r="C6" s="431" t="s">
        <v>1036</v>
      </c>
      <c r="D6" s="431"/>
      <c r="E6" s="431"/>
      <c r="F6" s="431"/>
      <c r="G6" s="431"/>
      <c r="H6" s="431"/>
      <c r="J6" s="431" t="s">
        <v>37</v>
      </c>
      <c r="K6" s="431"/>
      <c r="L6" s="431"/>
      <c r="M6" s="431"/>
      <c r="N6" s="431"/>
      <c r="O6" s="431"/>
      <c r="Q6" s="431" t="s">
        <v>1138</v>
      </c>
      <c r="R6" s="431"/>
      <c r="S6" s="431"/>
      <c r="T6" s="431"/>
      <c r="U6" s="431"/>
      <c r="V6" s="431"/>
    </row>
    <row r="7" spans="1:39" customFormat="1" ht="3" customHeight="1">
      <c r="B7" s="3"/>
      <c r="C7" s="3"/>
      <c r="D7" s="84"/>
      <c r="E7" s="85"/>
      <c r="F7" s="85"/>
      <c r="G7" s="85"/>
      <c r="H7" s="85"/>
      <c r="I7" s="3"/>
      <c r="J7" s="3"/>
      <c r="K7" s="84"/>
      <c r="L7" s="85"/>
      <c r="M7" s="85"/>
      <c r="N7" s="85"/>
      <c r="O7" s="85"/>
      <c r="P7" s="3"/>
      <c r="Q7" s="3"/>
      <c r="R7" s="84"/>
      <c r="S7" s="85"/>
      <c r="T7" s="85"/>
      <c r="U7" s="85"/>
      <c r="V7" s="85"/>
    </row>
    <row r="8" spans="1:39" customFormat="1" ht="15" customHeight="1">
      <c r="A8" s="97" t="s">
        <v>1038</v>
      </c>
      <c r="B8" s="3"/>
      <c r="C8" s="3"/>
      <c r="D8" s="425" t="s">
        <v>98</v>
      </c>
      <c r="E8" s="425"/>
      <c r="F8" s="425"/>
      <c r="G8" s="428"/>
      <c r="H8" s="424" t="s">
        <v>1043</v>
      </c>
      <c r="I8" s="3"/>
      <c r="J8" s="3"/>
      <c r="K8" s="425" t="s">
        <v>98</v>
      </c>
      <c r="L8" s="425"/>
      <c r="M8" s="425"/>
      <c r="N8" s="428"/>
      <c r="O8" s="424" t="s">
        <v>1043</v>
      </c>
      <c r="P8" s="3"/>
      <c r="Q8" s="3"/>
      <c r="R8" s="425" t="s">
        <v>98</v>
      </c>
      <c r="S8" s="425"/>
      <c r="T8" s="425"/>
      <c r="U8" s="428"/>
      <c r="V8" s="424" t="s">
        <v>1043</v>
      </c>
    </row>
    <row r="9" spans="1:39" customFormat="1" ht="3" customHeight="1">
      <c r="B9" s="3"/>
      <c r="C9" s="3"/>
      <c r="D9" s="84"/>
      <c r="E9" s="85"/>
      <c r="F9" s="85"/>
      <c r="G9" s="85"/>
      <c r="H9" s="424"/>
      <c r="I9" s="3"/>
      <c r="J9" s="3"/>
      <c r="K9" s="84"/>
      <c r="L9" s="85"/>
      <c r="M9" s="85"/>
      <c r="N9" s="85"/>
      <c r="O9" s="424"/>
      <c r="P9" s="3"/>
      <c r="Q9" s="3"/>
      <c r="R9" s="84"/>
      <c r="S9" s="85"/>
      <c r="T9" s="85"/>
      <c r="U9" s="85"/>
      <c r="V9" s="424"/>
    </row>
    <row r="10" spans="1:39" ht="20.25" customHeight="1">
      <c r="A10" s="97" t="s">
        <v>558</v>
      </c>
      <c r="D10" s="98" t="s">
        <v>1044</v>
      </c>
      <c r="E10" s="98" t="s">
        <v>1045</v>
      </c>
      <c r="F10" s="98" t="s">
        <v>53</v>
      </c>
      <c r="G10" s="98" t="s">
        <v>1046</v>
      </c>
      <c r="H10" s="424"/>
      <c r="K10" s="98" t="s">
        <v>1044</v>
      </c>
      <c r="L10" s="98" t="s">
        <v>1045</v>
      </c>
      <c r="M10" s="98" t="s">
        <v>53</v>
      </c>
      <c r="N10" s="98" t="s">
        <v>1046</v>
      </c>
      <c r="O10" s="424"/>
      <c r="R10" s="98" t="s">
        <v>1044</v>
      </c>
      <c r="S10" s="98" t="s">
        <v>1045</v>
      </c>
      <c r="T10" s="98" t="s">
        <v>53</v>
      </c>
      <c r="U10" s="98" t="s">
        <v>1046</v>
      </c>
      <c r="V10" s="424"/>
    </row>
    <row r="11" spans="1:39" customFormat="1" ht="3" customHeight="1">
      <c r="B11" s="3"/>
      <c r="C11" s="3"/>
      <c r="D11" s="84"/>
      <c r="E11" s="85"/>
      <c r="F11" s="85"/>
      <c r="G11" s="85"/>
      <c r="H11" s="85"/>
      <c r="I11" s="3"/>
      <c r="J11" s="3"/>
      <c r="K11" s="84"/>
      <c r="L11" s="85"/>
      <c r="M11" s="85"/>
      <c r="N11" s="85"/>
      <c r="O11" s="85"/>
      <c r="P11" s="3"/>
      <c r="Q11" s="3"/>
      <c r="R11" s="84"/>
      <c r="S11" s="85"/>
      <c r="T11" s="85"/>
      <c r="U11" s="85"/>
      <c r="V11" s="85"/>
    </row>
    <row r="12" spans="1:39" s="103" customFormat="1">
      <c r="A12" s="102"/>
      <c r="D12" s="104" t="s">
        <v>561</v>
      </c>
      <c r="E12" s="104" t="s">
        <v>561</v>
      </c>
      <c r="F12" s="104" t="s">
        <v>561</v>
      </c>
      <c r="G12" s="104" t="s">
        <v>561</v>
      </c>
      <c r="H12" s="104" t="s">
        <v>561</v>
      </c>
      <c r="K12" s="104" t="s">
        <v>561</v>
      </c>
      <c r="L12" s="104" t="s">
        <v>561</v>
      </c>
      <c r="M12" s="104" t="s">
        <v>561</v>
      </c>
      <c r="N12" s="104" t="s">
        <v>561</v>
      </c>
      <c r="O12" s="104" t="s">
        <v>561</v>
      </c>
      <c r="R12" s="104" t="s">
        <v>561</v>
      </c>
      <c r="S12" s="104" t="s">
        <v>561</v>
      </c>
      <c r="T12" s="104" t="s">
        <v>561</v>
      </c>
      <c r="U12" s="104" t="s">
        <v>561</v>
      </c>
      <c r="V12" s="104" t="s">
        <v>561</v>
      </c>
    </row>
    <row r="13" spans="1:39" s="103" customFormat="1" hidden="1" outlineLevel="1">
      <c r="A13" s="104" t="s">
        <v>1047</v>
      </c>
      <c r="D13" s="104"/>
      <c r="E13" s="104"/>
      <c r="F13" s="104"/>
      <c r="G13" s="104"/>
      <c r="H13" s="104"/>
      <c r="K13" s="104"/>
      <c r="L13" s="104"/>
      <c r="M13" s="104"/>
      <c r="N13" s="104"/>
      <c r="O13" s="104"/>
      <c r="R13" s="104"/>
      <c r="S13" s="104"/>
      <c r="T13" s="104"/>
      <c r="U13" s="104"/>
      <c r="V13" s="104"/>
    </row>
    <row r="14" spans="1:39" s="103" customFormat="1" hidden="1" outlineLevel="1">
      <c r="A14" s="104" t="s">
        <v>571</v>
      </c>
      <c r="D14" s="104"/>
      <c r="E14" s="104"/>
      <c r="F14" s="104"/>
      <c r="G14" s="104"/>
      <c r="H14" s="104"/>
      <c r="K14" s="104"/>
      <c r="L14" s="104"/>
      <c r="M14" s="104"/>
      <c r="N14" s="104"/>
      <c r="O14" s="104"/>
      <c r="R14" s="104"/>
      <c r="S14" s="104"/>
      <c r="T14" s="104"/>
      <c r="U14" s="104"/>
      <c r="V14" s="104"/>
    </row>
    <row r="15" spans="1:39" s="38" customFormat="1" collapsed="1">
      <c r="A15" s="99"/>
      <c r="D15" s="100"/>
      <c r="E15" s="100"/>
      <c r="F15" s="100"/>
      <c r="G15" s="100"/>
      <c r="H15" s="100"/>
      <c r="K15" s="100"/>
      <c r="L15" s="100"/>
      <c r="M15" s="100"/>
      <c r="N15" s="100"/>
      <c r="O15" s="100"/>
      <c r="R15" s="100"/>
      <c r="S15" s="100"/>
      <c r="T15" s="100"/>
      <c r="U15" s="100"/>
      <c r="V15" s="100"/>
    </row>
    <row r="16" spans="1:39">
      <c r="A16" s="94">
        <v>2026</v>
      </c>
      <c r="D16" s="95">
        <v>160021.23326595494</v>
      </c>
      <c r="E16" s="95">
        <v>18298.653797758361</v>
      </c>
      <c r="F16" s="95">
        <v>84575.987982864011</v>
      </c>
      <c r="G16" s="95">
        <v>0</v>
      </c>
      <c r="H16" s="136">
        <f t="shared" ref="H16:H45" si="0">SUM(D16:G16)</f>
        <v>262895.8750465773</v>
      </c>
      <c r="K16" s="95">
        <v>180199.71772389879</v>
      </c>
      <c r="L16" s="95">
        <v>27971.935574801813</v>
      </c>
      <c r="M16" s="95">
        <v>67814.703193553141</v>
      </c>
      <c r="N16" s="95">
        <v>4814.1247775827032</v>
      </c>
      <c r="O16" s="136">
        <f t="shared" ref="O16:O45" si="1">SUM(K16:N16)</f>
        <v>280800.48126983643</v>
      </c>
      <c r="R16" s="95">
        <f t="shared" ref="R16:R45" si="2">D16+K16</f>
        <v>340220.95098985371</v>
      </c>
      <c r="S16" s="95">
        <f t="shared" ref="S16:S45" si="3">E16+L16</f>
        <v>46270.589372560178</v>
      </c>
      <c r="T16" s="95">
        <f t="shared" ref="T16:T45" si="4">F16+M16</f>
        <v>152390.69117641717</v>
      </c>
      <c r="U16" s="95">
        <f t="shared" ref="U16:U45" si="5">G16+N16</f>
        <v>4814.1247775827032</v>
      </c>
      <c r="V16" s="136">
        <f t="shared" ref="V16:V45" si="6">SUM(R16:U16)</f>
        <v>543696.35631641373</v>
      </c>
    </row>
    <row r="17" spans="1:22">
      <c r="A17" s="94">
        <v>2027</v>
      </c>
      <c r="D17" s="95">
        <v>173828.71355417103</v>
      </c>
      <c r="E17" s="95">
        <v>22906.389549077972</v>
      </c>
      <c r="F17" s="95">
        <v>100634.47492403435</v>
      </c>
      <c r="G17" s="95">
        <v>0</v>
      </c>
      <c r="H17" s="136">
        <f t="shared" si="0"/>
        <v>297369.57802728337</v>
      </c>
      <c r="K17" s="95">
        <v>206255.98986074093</v>
      </c>
      <c r="L17" s="95">
        <v>28859.354659668556</v>
      </c>
      <c r="M17" s="95">
        <v>68809.146344854758</v>
      </c>
      <c r="N17" s="95">
        <v>4706.2774349480778</v>
      </c>
      <c r="O17" s="136">
        <f t="shared" si="1"/>
        <v>308630.76830021228</v>
      </c>
      <c r="R17" s="95">
        <f t="shared" si="2"/>
        <v>380084.70341491199</v>
      </c>
      <c r="S17" s="95">
        <f t="shared" si="3"/>
        <v>51765.744208746532</v>
      </c>
      <c r="T17" s="95">
        <f t="shared" si="4"/>
        <v>169443.62126888911</v>
      </c>
      <c r="U17" s="95">
        <f t="shared" si="5"/>
        <v>4706.2774349480778</v>
      </c>
      <c r="V17" s="136">
        <f t="shared" si="6"/>
        <v>606000.34632749576</v>
      </c>
    </row>
    <row r="18" spans="1:22">
      <c r="A18" s="94">
        <v>2028</v>
      </c>
      <c r="D18" s="95">
        <v>179431.33914101412</v>
      </c>
      <c r="E18" s="95">
        <v>26095.436428326102</v>
      </c>
      <c r="F18" s="95">
        <v>119795.48556151646</v>
      </c>
      <c r="G18" s="95">
        <v>0</v>
      </c>
      <c r="H18" s="136">
        <f t="shared" si="0"/>
        <v>325322.2611308567</v>
      </c>
      <c r="K18" s="95">
        <v>226689.48307785057</v>
      </c>
      <c r="L18" s="95">
        <v>28916.976696351961</v>
      </c>
      <c r="M18" s="95">
        <v>68688.682075107485</v>
      </c>
      <c r="N18" s="95">
        <v>4656.6251405789699</v>
      </c>
      <c r="O18" s="136">
        <f t="shared" si="1"/>
        <v>328951.76698988897</v>
      </c>
      <c r="R18" s="95">
        <f t="shared" si="2"/>
        <v>406120.82221886469</v>
      </c>
      <c r="S18" s="95">
        <f t="shared" si="3"/>
        <v>55012.41312467806</v>
      </c>
      <c r="T18" s="95">
        <f t="shared" si="4"/>
        <v>188484.16763662396</v>
      </c>
      <c r="U18" s="95">
        <f t="shared" si="5"/>
        <v>4656.6251405789699</v>
      </c>
      <c r="V18" s="136">
        <f t="shared" si="6"/>
        <v>654274.02812074567</v>
      </c>
    </row>
    <row r="19" spans="1:22">
      <c r="A19" s="94">
        <v>2029</v>
      </c>
      <c r="D19" s="95">
        <v>186917.41790320788</v>
      </c>
      <c r="E19" s="95">
        <v>25650.018342826406</v>
      </c>
      <c r="F19" s="95">
        <v>124356.00252271236</v>
      </c>
      <c r="G19" s="95">
        <v>0</v>
      </c>
      <c r="H19" s="136">
        <f t="shared" si="0"/>
        <v>336923.43876874662</v>
      </c>
      <c r="K19" s="95">
        <v>246606.53877105506</v>
      </c>
      <c r="L19" s="95">
        <v>29498.014073383289</v>
      </c>
      <c r="M19" s="95">
        <v>70195.573242089537</v>
      </c>
      <c r="N19" s="95">
        <v>4779.0511061836605</v>
      </c>
      <c r="O19" s="136">
        <f t="shared" si="1"/>
        <v>351079.17719271156</v>
      </c>
      <c r="R19" s="95">
        <f t="shared" si="2"/>
        <v>433523.95667426294</v>
      </c>
      <c r="S19" s="95">
        <f t="shared" si="3"/>
        <v>55148.032416209695</v>
      </c>
      <c r="T19" s="95">
        <f t="shared" si="4"/>
        <v>194551.57576480188</v>
      </c>
      <c r="U19" s="95">
        <f t="shared" si="5"/>
        <v>4779.0511061836605</v>
      </c>
      <c r="V19" s="136">
        <f t="shared" si="6"/>
        <v>688002.61596145818</v>
      </c>
    </row>
    <row r="20" spans="1:22">
      <c r="A20" s="94">
        <v>2030</v>
      </c>
      <c r="D20" s="95">
        <v>197652.61843643337</v>
      </c>
      <c r="E20" s="95">
        <v>28414.616723332525</v>
      </c>
      <c r="F20" s="95">
        <v>138385.12782671684</v>
      </c>
      <c r="G20" s="95">
        <v>0</v>
      </c>
      <c r="H20" s="136">
        <f t="shared" si="0"/>
        <v>364452.36298648274</v>
      </c>
      <c r="K20" s="95">
        <v>272348.9154959608</v>
      </c>
      <c r="L20" s="95">
        <v>30861.890019558119</v>
      </c>
      <c r="M20" s="95">
        <v>73652.959546403596</v>
      </c>
      <c r="N20" s="95">
        <v>5047.9486089801158</v>
      </c>
      <c r="O20" s="136">
        <f t="shared" si="1"/>
        <v>381911.71367090265</v>
      </c>
      <c r="R20" s="95">
        <f t="shared" si="2"/>
        <v>470001.53393239417</v>
      </c>
      <c r="S20" s="95">
        <f t="shared" si="3"/>
        <v>59276.506742890648</v>
      </c>
      <c r="T20" s="95">
        <f t="shared" si="4"/>
        <v>212038.08737312042</v>
      </c>
      <c r="U20" s="95">
        <f t="shared" si="5"/>
        <v>5047.9486089801158</v>
      </c>
      <c r="V20" s="136">
        <f t="shared" si="6"/>
        <v>746364.07665738545</v>
      </c>
    </row>
    <row r="21" spans="1:22">
      <c r="A21" s="94">
        <v>2031</v>
      </c>
      <c r="D21" s="95">
        <v>210546.62407509284</v>
      </c>
      <c r="E21" s="95">
        <v>29062.586973585141</v>
      </c>
      <c r="F21" s="95">
        <v>141404.99583574091</v>
      </c>
      <c r="G21" s="95">
        <v>0</v>
      </c>
      <c r="H21" s="136">
        <f t="shared" si="0"/>
        <v>381014.20688441885</v>
      </c>
      <c r="K21" s="95">
        <v>255703.35953774094</v>
      </c>
      <c r="L21" s="95">
        <v>29611.06594964422</v>
      </c>
      <c r="M21" s="95">
        <v>70791.343292523539</v>
      </c>
      <c r="N21" s="95">
        <v>4870.5382209263607</v>
      </c>
      <c r="O21" s="136">
        <f t="shared" si="1"/>
        <v>360976.30700083502</v>
      </c>
      <c r="R21" s="95">
        <f t="shared" si="2"/>
        <v>466249.98361283378</v>
      </c>
      <c r="S21" s="95">
        <f t="shared" si="3"/>
        <v>58673.652923229361</v>
      </c>
      <c r="T21" s="95">
        <f t="shared" si="4"/>
        <v>212196.33912826446</v>
      </c>
      <c r="U21" s="95">
        <f t="shared" si="5"/>
        <v>4870.5382209263607</v>
      </c>
      <c r="V21" s="136">
        <f t="shared" si="6"/>
        <v>741990.51388525392</v>
      </c>
    </row>
    <row r="22" spans="1:22">
      <c r="A22" s="94">
        <v>2032</v>
      </c>
      <c r="D22" s="95">
        <v>224786.39587287238</v>
      </c>
      <c r="E22" s="95">
        <v>32232.983855627623</v>
      </c>
      <c r="F22" s="95">
        <v>155163.75508726283</v>
      </c>
      <c r="G22" s="95">
        <v>0</v>
      </c>
      <c r="H22" s="136">
        <f t="shared" si="0"/>
        <v>412183.13481576287</v>
      </c>
      <c r="K22" s="95">
        <v>228936.74963013842</v>
      </c>
      <c r="L22" s="95">
        <v>25299.414355886154</v>
      </c>
      <c r="M22" s="95">
        <v>60533.705954754194</v>
      </c>
      <c r="N22" s="95">
        <v>4173.0279622208391</v>
      </c>
      <c r="O22" s="136">
        <f t="shared" si="1"/>
        <v>318942.8979029996</v>
      </c>
      <c r="R22" s="95">
        <f t="shared" si="2"/>
        <v>453723.14550301083</v>
      </c>
      <c r="S22" s="95">
        <f t="shared" si="3"/>
        <v>57532.398211513777</v>
      </c>
      <c r="T22" s="95">
        <f t="shared" si="4"/>
        <v>215697.46104201704</v>
      </c>
      <c r="U22" s="95">
        <f t="shared" si="5"/>
        <v>4173.0279622208391</v>
      </c>
      <c r="V22" s="136">
        <f t="shared" si="6"/>
        <v>731126.03271876252</v>
      </c>
    </row>
    <row r="23" spans="1:22">
      <c r="A23" s="94">
        <v>2033</v>
      </c>
      <c r="D23" s="95">
        <v>224551.41806961998</v>
      </c>
      <c r="E23" s="95">
        <v>32049.599590429825</v>
      </c>
      <c r="F23" s="95">
        <v>153612.83709944107</v>
      </c>
      <c r="G23" s="95">
        <v>0</v>
      </c>
      <c r="H23" s="136">
        <f t="shared" si="0"/>
        <v>410213.85475949087</v>
      </c>
      <c r="K23" s="95">
        <v>206547.65392747868</v>
      </c>
      <c r="L23" s="95">
        <v>22272.684758572719</v>
      </c>
      <c r="M23" s="95">
        <v>52417.601217312753</v>
      </c>
      <c r="N23" s="95">
        <v>3670.4743218149097</v>
      </c>
      <c r="O23" s="136">
        <f t="shared" si="1"/>
        <v>284908.41422517906</v>
      </c>
      <c r="R23" s="95">
        <f t="shared" si="2"/>
        <v>431099.07199709862</v>
      </c>
      <c r="S23" s="95">
        <f t="shared" si="3"/>
        <v>54322.284349002541</v>
      </c>
      <c r="T23" s="95">
        <f t="shared" si="4"/>
        <v>206030.43831675383</v>
      </c>
      <c r="U23" s="95">
        <f t="shared" si="5"/>
        <v>3670.4743218149097</v>
      </c>
      <c r="V23" s="136">
        <f t="shared" si="6"/>
        <v>695122.26898466994</v>
      </c>
    </row>
    <row r="24" spans="1:22">
      <c r="A24" s="94">
        <v>2034</v>
      </c>
      <c r="D24" s="95">
        <v>210189.48433062318</v>
      </c>
      <c r="E24" s="95">
        <v>28558.28697203796</v>
      </c>
      <c r="F24" s="95">
        <v>138650.63363572996</v>
      </c>
      <c r="G24" s="95">
        <v>0</v>
      </c>
      <c r="H24" s="136">
        <f t="shared" si="0"/>
        <v>377398.40493839106</v>
      </c>
      <c r="K24" s="95">
        <v>183176.01556493482</v>
      </c>
      <c r="L24" s="95">
        <v>18984.574717348831</v>
      </c>
      <c r="M24" s="95">
        <v>42127.043083001125</v>
      </c>
      <c r="N24" s="95">
        <v>3128.6032751627786</v>
      </c>
      <c r="O24" s="136">
        <f t="shared" si="1"/>
        <v>247416.23664044755</v>
      </c>
      <c r="R24" s="95">
        <f t="shared" si="2"/>
        <v>393365.49989555799</v>
      </c>
      <c r="S24" s="95">
        <f t="shared" si="3"/>
        <v>47542.861689386787</v>
      </c>
      <c r="T24" s="95">
        <f t="shared" si="4"/>
        <v>180777.67671873109</v>
      </c>
      <c r="U24" s="95">
        <f t="shared" si="5"/>
        <v>3128.6032751627786</v>
      </c>
      <c r="V24" s="136">
        <f t="shared" si="6"/>
        <v>624814.64157883858</v>
      </c>
    </row>
    <row r="25" spans="1:22">
      <c r="A25" s="94">
        <v>2035</v>
      </c>
      <c r="D25" s="95">
        <v>191125.58413776383</v>
      </c>
      <c r="E25" s="95">
        <v>25226.133691216026</v>
      </c>
      <c r="F25" s="95">
        <v>123604.4400591453</v>
      </c>
      <c r="G25" s="95">
        <v>0</v>
      </c>
      <c r="H25" s="136">
        <f t="shared" si="0"/>
        <v>339956.15788812516</v>
      </c>
      <c r="K25" s="95">
        <v>163038.87720423576</v>
      </c>
      <c r="L25" s="95">
        <v>16389.614220076815</v>
      </c>
      <c r="M25" s="95">
        <v>36368.788460651012</v>
      </c>
      <c r="N25" s="95">
        <v>2700.9612734516904</v>
      </c>
      <c r="O25" s="136">
        <f t="shared" si="1"/>
        <v>218498.24115841527</v>
      </c>
      <c r="R25" s="95">
        <f t="shared" si="2"/>
        <v>354164.46134199959</v>
      </c>
      <c r="S25" s="95">
        <f t="shared" si="3"/>
        <v>41615.747911292841</v>
      </c>
      <c r="T25" s="95">
        <f t="shared" si="4"/>
        <v>159973.22851979631</v>
      </c>
      <c r="U25" s="95">
        <f t="shared" si="5"/>
        <v>2700.9612734516904</v>
      </c>
      <c r="V25" s="136">
        <f t="shared" si="6"/>
        <v>558454.39904654038</v>
      </c>
    </row>
    <row r="26" spans="1:22">
      <c r="A26" s="94">
        <v>2036</v>
      </c>
      <c r="D26" s="95">
        <v>172789.95274631155</v>
      </c>
      <c r="E26" s="95">
        <v>22679.365105921712</v>
      </c>
      <c r="F26" s="95">
        <v>111913.4927303626</v>
      </c>
      <c r="G26" s="95">
        <v>0</v>
      </c>
      <c r="H26" s="136">
        <f t="shared" si="0"/>
        <v>307382.81058259588</v>
      </c>
      <c r="K26" s="95">
        <v>146043.54496952984</v>
      </c>
      <c r="L26" s="95">
        <v>14340.819236848803</v>
      </c>
      <c r="M26" s="95">
        <v>31822.48295509833</v>
      </c>
      <c r="N26" s="95">
        <v>2363.3257735608213</v>
      </c>
      <c r="O26" s="136">
        <f t="shared" si="1"/>
        <v>194570.17293503779</v>
      </c>
      <c r="R26" s="95">
        <f t="shared" si="2"/>
        <v>318833.4977158414</v>
      </c>
      <c r="S26" s="95">
        <f t="shared" si="3"/>
        <v>37020.184342770517</v>
      </c>
      <c r="T26" s="95">
        <f t="shared" si="4"/>
        <v>143735.97568546093</v>
      </c>
      <c r="U26" s="95">
        <f t="shared" si="5"/>
        <v>2363.3257735608213</v>
      </c>
      <c r="V26" s="136">
        <f t="shared" si="6"/>
        <v>501952.98351763369</v>
      </c>
    </row>
    <row r="27" spans="1:22">
      <c r="A27" s="94">
        <f>A26+1</f>
        <v>2037</v>
      </c>
      <c r="D27" s="95">
        <v>152109.14848182385</v>
      </c>
      <c r="E27" s="95">
        <v>20352.825137069689</v>
      </c>
      <c r="F27" s="95">
        <v>101481.84364688164</v>
      </c>
      <c r="G27" s="95">
        <v>0</v>
      </c>
      <c r="H27" s="136">
        <f t="shared" si="0"/>
        <v>273943.81726577517</v>
      </c>
      <c r="K27" s="95">
        <v>128580.65292450784</v>
      </c>
      <c r="L27" s="95">
        <v>12540.675121652603</v>
      </c>
      <c r="M27" s="95">
        <v>27827.937325006085</v>
      </c>
      <c r="N27" s="95">
        <v>2066.6672151101602</v>
      </c>
      <c r="O27" s="136">
        <f t="shared" si="1"/>
        <v>171015.9325862767</v>
      </c>
      <c r="R27" s="95">
        <f t="shared" si="2"/>
        <v>280689.80140633171</v>
      </c>
      <c r="S27" s="95">
        <f t="shared" si="3"/>
        <v>32893.500258722292</v>
      </c>
      <c r="T27" s="95">
        <f t="shared" si="4"/>
        <v>129309.78097188773</v>
      </c>
      <c r="U27" s="95">
        <f t="shared" si="5"/>
        <v>2066.6672151101602</v>
      </c>
      <c r="V27" s="136">
        <f t="shared" si="6"/>
        <v>444959.74985205184</v>
      </c>
    </row>
    <row r="28" spans="1:22">
      <c r="A28" s="94">
        <v>2038</v>
      </c>
      <c r="D28" s="95">
        <v>133145.76939050094</v>
      </c>
      <c r="E28" s="95">
        <v>18049.418150367823</v>
      </c>
      <c r="F28" s="95">
        <v>90058.900123642379</v>
      </c>
      <c r="G28" s="95">
        <v>0</v>
      </c>
      <c r="H28" s="136">
        <f t="shared" si="0"/>
        <v>241254.08766451114</v>
      </c>
      <c r="K28" s="95">
        <v>112396.71122303877</v>
      </c>
      <c r="L28" s="95">
        <v>10991.513344348397</v>
      </c>
      <c r="M28" s="95">
        <v>24390.325120108901</v>
      </c>
      <c r="N28" s="95">
        <v>1811.3698193254797</v>
      </c>
      <c r="O28" s="136">
        <f t="shared" si="1"/>
        <v>149589.91950682155</v>
      </c>
      <c r="R28" s="95">
        <f t="shared" si="2"/>
        <v>245542.48061353969</v>
      </c>
      <c r="S28" s="95">
        <f t="shared" si="3"/>
        <v>29040.93149471622</v>
      </c>
      <c r="T28" s="95">
        <f t="shared" si="4"/>
        <v>114449.22524375128</v>
      </c>
      <c r="U28" s="95">
        <f t="shared" si="5"/>
        <v>1811.3698193254797</v>
      </c>
      <c r="V28" s="136">
        <f t="shared" si="6"/>
        <v>390844.00717133266</v>
      </c>
    </row>
    <row r="29" spans="1:22">
      <c r="A29" s="94">
        <v>2039</v>
      </c>
      <c r="D29" s="95">
        <v>117368.97806204839</v>
      </c>
      <c r="E29" s="95">
        <v>16079.650673087297</v>
      </c>
      <c r="F29" s="95">
        <v>80053.648651292053</v>
      </c>
      <c r="G29" s="95">
        <v>0</v>
      </c>
      <c r="H29" s="136">
        <f t="shared" si="0"/>
        <v>213502.27738642774</v>
      </c>
      <c r="K29" s="95">
        <v>99149.096827909612</v>
      </c>
      <c r="L29" s="95">
        <v>9729.7303921822968</v>
      </c>
      <c r="M29" s="95">
        <v>21590.410653481489</v>
      </c>
      <c r="N29" s="95">
        <v>1603.4316253271106</v>
      </c>
      <c r="O29" s="136">
        <f t="shared" si="1"/>
        <v>132072.66949890053</v>
      </c>
      <c r="R29" s="95">
        <f t="shared" si="2"/>
        <v>216518.07488995802</v>
      </c>
      <c r="S29" s="95">
        <f t="shared" si="3"/>
        <v>25809.381065269594</v>
      </c>
      <c r="T29" s="95">
        <f t="shared" si="4"/>
        <v>101644.05930477355</v>
      </c>
      <c r="U29" s="95">
        <f t="shared" si="5"/>
        <v>1603.4316253271106</v>
      </c>
      <c r="V29" s="136">
        <f t="shared" si="6"/>
        <v>345574.94688532827</v>
      </c>
    </row>
    <row r="30" spans="1:22">
      <c r="A30" s="94">
        <v>2040</v>
      </c>
      <c r="D30" s="95">
        <v>103114.23420203439</v>
      </c>
      <c r="E30" s="95">
        <v>14376.864256218854</v>
      </c>
      <c r="F30" s="95">
        <v>71363.002185282297</v>
      </c>
      <c r="G30" s="95">
        <v>0</v>
      </c>
      <c r="H30" s="136">
        <f t="shared" si="0"/>
        <v>188854.10064353555</v>
      </c>
      <c r="K30" s="95">
        <v>87636.026220323882</v>
      </c>
      <c r="L30" s="95">
        <v>8604.5933792178439</v>
      </c>
      <c r="M30" s="95">
        <v>19093.715501889405</v>
      </c>
      <c r="N30" s="95">
        <v>1418.0122857371603</v>
      </c>
      <c r="O30" s="136">
        <f t="shared" si="1"/>
        <v>116752.34738716828</v>
      </c>
      <c r="R30" s="95">
        <f t="shared" si="2"/>
        <v>190750.26042235829</v>
      </c>
      <c r="S30" s="95">
        <f t="shared" si="3"/>
        <v>22981.457635436698</v>
      </c>
      <c r="T30" s="95">
        <f t="shared" si="4"/>
        <v>90456.717687171709</v>
      </c>
      <c r="U30" s="95">
        <f t="shared" si="5"/>
        <v>1418.0122857371603</v>
      </c>
      <c r="V30" s="136">
        <f t="shared" si="6"/>
        <v>305606.44803070388</v>
      </c>
    </row>
    <row r="31" spans="1:22">
      <c r="A31" s="94">
        <v>2041</v>
      </c>
      <c r="D31" s="95">
        <v>91214.937380579344</v>
      </c>
      <c r="E31" s="95">
        <v>12855.336974655831</v>
      </c>
      <c r="F31" s="95">
        <v>63681.966285489907</v>
      </c>
      <c r="G31" s="95">
        <v>0</v>
      </c>
      <c r="H31" s="136">
        <f t="shared" si="0"/>
        <v>167752.24064072507</v>
      </c>
      <c r="K31" s="95">
        <v>77367.343793430715</v>
      </c>
      <c r="L31" s="95">
        <v>7533.1280805280248</v>
      </c>
      <c r="M31" s="95">
        <v>16716.118672773555</v>
      </c>
      <c r="N31" s="95">
        <v>1241.4378868883</v>
      </c>
      <c r="O31" s="136">
        <f t="shared" si="1"/>
        <v>102858.02843362061</v>
      </c>
      <c r="R31" s="95">
        <f t="shared" si="2"/>
        <v>168582.28117401007</v>
      </c>
      <c r="S31" s="95">
        <f t="shared" si="3"/>
        <v>20388.465055183857</v>
      </c>
      <c r="T31" s="95">
        <f t="shared" si="4"/>
        <v>80398.084958263469</v>
      </c>
      <c r="U31" s="95">
        <f t="shared" si="5"/>
        <v>1241.4378868883</v>
      </c>
      <c r="V31" s="136">
        <f t="shared" si="6"/>
        <v>270610.26907434571</v>
      </c>
    </row>
    <row r="32" spans="1:22">
      <c r="A32" s="94">
        <v>2042</v>
      </c>
      <c r="D32" s="95">
        <v>81192.387251854147</v>
      </c>
      <c r="E32" s="95">
        <v>11526.457864571859</v>
      </c>
      <c r="F32" s="95">
        <v>56978.639457292462</v>
      </c>
      <c r="G32" s="95">
        <v>0</v>
      </c>
      <c r="H32" s="136">
        <f t="shared" si="0"/>
        <v>149697.48457371845</v>
      </c>
      <c r="K32" s="95">
        <v>68502.80829253736</v>
      </c>
      <c r="L32" s="95">
        <v>6730.1129140697067</v>
      </c>
      <c r="M32" s="95">
        <v>14934.216523584031</v>
      </c>
      <c r="N32" s="95">
        <v>1109.1032984614201</v>
      </c>
      <c r="O32" s="136">
        <f t="shared" si="1"/>
        <v>91276.241028652512</v>
      </c>
      <c r="R32" s="95">
        <f t="shared" si="2"/>
        <v>149695.19554439152</v>
      </c>
      <c r="S32" s="95">
        <f t="shared" si="3"/>
        <v>18256.570778641566</v>
      </c>
      <c r="T32" s="95">
        <f t="shared" si="4"/>
        <v>71912.855980876499</v>
      </c>
      <c r="U32" s="95">
        <f t="shared" si="5"/>
        <v>1109.1032984614201</v>
      </c>
      <c r="V32" s="136">
        <f t="shared" si="6"/>
        <v>240973.72560237098</v>
      </c>
    </row>
    <row r="33" spans="1:22">
      <c r="A33" s="94">
        <v>2043</v>
      </c>
      <c r="D33" s="95">
        <v>63479.000404841456</v>
      </c>
      <c r="E33" s="95">
        <v>9923.4845599389173</v>
      </c>
      <c r="F33" s="95">
        <v>49176.537620403324</v>
      </c>
      <c r="G33" s="95">
        <v>0</v>
      </c>
      <c r="H33" s="136">
        <f t="shared" si="0"/>
        <v>122579.0225851837</v>
      </c>
      <c r="K33" s="95">
        <v>61339.10888225981</v>
      </c>
      <c r="L33" s="95">
        <v>5991.5568229165638</v>
      </c>
      <c r="M33" s="95">
        <v>13295.34999490375</v>
      </c>
      <c r="N33" s="95">
        <v>987.39137854842022</v>
      </c>
      <c r="O33" s="136">
        <f t="shared" si="1"/>
        <v>81613.407078628545</v>
      </c>
      <c r="R33" s="95">
        <f t="shared" si="2"/>
        <v>124818.10928710127</v>
      </c>
      <c r="S33" s="95">
        <f t="shared" si="3"/>
        <v>15915.041382855481</v>
      </c>
      <c r="T33" s="95">
        <f t="shared" si="4"/>
        <v>62471.887615307074</v>
      </c>
      <c r="U33" s="95">
        <f t="shared" si="5"/>
        <v>987.39137854842022</v>
      </c>
      <c r="V33" s="136">
        <f t="shared" si="6"/>
        <v>204192.42966381225</v>
      </c>
    </row>
    <row r="34" spans="1:22">
      <c r="A34" s="94">
        <v>2044</v>
      </c>
      <c r="D34" s="95">
        <v>55918.141041380732</v>
      </c>
      <c r="E34" s="95">
        <v>8953.8697870123269</v>
      </c>
      <c r="F34" s="95">
        <v>44146.164787746646</v>
      </c>
      <c r="G34" s="95">
        <v>0</v>
      </c>
      <c r="H34" s="136">
        <f t="shared" si="0"/>
        <v>109018.17561613971</v>
      </c>
      <c r="K34" s="95">
        <v>52853.869222255846</v>
      </c>
      <c r="L34" s="95">
        <v>5306.2953574806297</v>
      </c>
      <c r="M34" s="95">
        <v>11774.745011946046</v>
      </c>
      <c r="N34" s="95">
        <v>874.46225824691055</v>
      </c>
      <c r="O34" s="136">
        <f t="shared" si="1"/>
        <v>70809.371849929434</v>
      </c>
      <c r="R34" s="95">
        <f t="shared" si="2"/>
        <v>108772.01026363658</v>
      </c>
      <c r="S34" s="95">
        <f t="shared" si="3"/>
        <v>14260.165144492956</v>
      </c>
      <c r="T34" s="95">
        <f t="shared" si="4"/>
        <v>55920.909799692694</v>
      </c>
      <c r="U34" s="95">
        <f t="shared" si="5"/>
        <v>874.46225824691055</v>
      </c>
      <c r="V34" s="136">
        <f t="shared" si="6"/>
        <v>179827.54746606914</v>
      </c>
    </row>
    <row r="35" spans="1:22">
      <c r="A35" s="94">
        <v>2045</v>
      </c>
      <c r="D35" s="95">
        <v>48315.401208258758</v>
      </c>
      <c r="E35" s="95">
        <v>8045.3998545023924</v>
      </c>
      <c r="F35" s="95">
        <v>39511.602499070308</v>
      </c>
      <c r="G35" s="95">
        <v>0</v>
      </c>
      <c r="H35" s="136">
        <f t="shared" si="0"/>
        <v>95872.403561831452</v>
      </c>
      <c r="K35" s="95">
        <v>45347.435969950238</v>
      </c>
      <c r="L35" s="95">
        <v>4736.0030562236061</v>
      </c>
      <c r="M35" s="95">
        <v>10509.258248904554</v>
      </c>
      <c r="N35" s="95">
        <v>780.47972562594953</v>
      </c>
      <c r="O35" s="136">
        <f t="shared" si="1"/>
        <v>61373.177000704345</v>
      </c>
      <c r="R35" s="95">
        <f t="shared" si="2"/>
        <v>93662.837178208996</v>
      </c>
      <c r="S35" s="95">
        <f t="shared" si="3"/>
        <v>12781.402910725999</v>
      </c>
      <c r="T35" s="95">
        <f t="shared" si="4"/>
        <v>50020.860747974861</v>
      </c>
      <c r="U35" s="95">
        <f t="shared" si="5"/>
        <v>780.47972562594953</v>
      </c>
      <c r="V35" s="136">
        <f t="shared" si="6"/>
        <v>157245.58056253579</v>
      </c>
    </row>
    <row r="36" spans="1:22">
      <c r="A36" s="94">
        <v>2046</v>
      </c>
      <c r="D36" s="95">
        <v>38891.972774188907</v>
      </c>
      <c r="E36" s="95">
        <v>7103.2167850773421</v>
      </c>
      <c r="F36" s="95">
        <v>33927.390419717085</v>
      </c>
      <c r="G36" s="95">
        <v>0</v>
      </c>
      <c r="H36" s="136">
        <f t="shared" si="0"/>
        <v>79922.579978983325</v>
      </c>
      <c r="K36" s="95">
        <v>31895.818288501112</v>
      </c>
      <c r="L36" s="95">
        <v>3296.34811379757</v>
      </c>
      <c r="M36" s="95">
        <v>7314.6434085201172</v>
      </c>
      <c r="N36" s="95">
        <v>543.22872080048</v>
      </c>
      <c r="O36" s="136">
        <f t="shared" si="1"/>
        <v>43050.038531619277</v>
      </c>
      <c r="R36" s="95">
        <f t="shared" si="2"/>
        <v>70787.791062690027</v>
      </c>
      <c r="S36" s="95">
        <f t="shared" si="3"/>
        <v>10399.564898874913</v>
      </c>
      <c r="T36" s="95">
        <f t="shared" si="4"/>
        <v>41242.033828237203</v>
      </c>
      <c r="U36" s="95">
        <f t="shared" si="5"/>
        <v>543.22872080048</v>
      </c>
      <c r="V36" s="136">
        <f t="shared" si="6"/>
        <v>122972.61851060262</v>
      </c>
    </row>
    <row r="37" spans="1:22">
      <c r="A37" s="94">
        <v>2047</v>
      </c>
      <c r="D37" s="95">
        <v>20165.291162972368</v>
      </c>
      <c r="E37" s="95">
        <v>6170.3687675806759</v>
      </c>
      <c r="F37" s="95">
        <v>25647.626268224154</v>
      </c>
      <c r="G37" s="95">
        <v>0</v>
      </c>
      <c r="H37" s="136">
        <f t="shared" si="0"/>
        <v>51983.286198777198</v>
      </c>
      <c r="K37" s="95">
        <v>3911.4455967492804</v>
      </c>
      <c r="L37" s="95">
        <v>241.52890596463004</v>
      </c>
      <c r="M37" s="95">
        <v>535.95607406927991</v>
      </c>
      <c r="N37" s="95">
        <v>39.803272665039991</v>
      </c>
      <c r="O37" s="136">
        <f t="shared" si="1"/>
        <v>4728.7338494482301</v>
      </c>
      <c r="R37" s="95">
        <f t="shared" si="2"/>
        <v>24076.736759721647</v>
      </c>
      <c r="S37" s="95">
        <f t="shared" si="3"/>
        <v>6411.8976735453061</v>
      </c>
      <c r="T37" s="95">
        <f t="shared" si="4"/>
        <v>26183.582342293434</v>
      </c>
      <c r="U37" s="95">
        <f t="shared" si="5"/>
        <v>39.803272665039991</v>
      </c>
      <c r="V37" s="136">
        <f t="shared" si="6"/>
        <v>56712.020048225429</v>
      </c>
    </row>
    <row r="38" spans="1:22">
      <c r="A38" s="94">
        <v>2048</v>
      </c>
      <c r="D38" s="95">
        <v>18195.213239681245</v>
      </c>
      <c r="E38" s="95">
        <v>5597.0604037280591</v>
      </c>
      <c r="F38" s="95">
        <v>23264.698755104684</v>
      </c>
      <c r="G38" s="95">
        <v>0</v>
      </c>
      <c r="H38" s="136">
        <f t="shared" si="0"/>
        <v>47056.972398513986</v>
      </c>
      <c r="K38" s="95">
        <v>3012.8349859390892</v>
      </c>
      <c r="L38" s="95">
        <v>192.55617643491007</v>
      </c>
      <c r="M38" s="95">
        <v>427.28489145957997</v>
      </c>
      <c r="N38" s="95">
        <v>31.732706952640008</v>
      </c>
      <c r="O38" s="136">
        <f t="shared" si="1"/>
        <v>3664.4087607862193</v>
      </c>
      <c r="R38" s="95">
        <f t="shared" si="2"/>
        <v>21208.048225620332</v>
      </c>
      <c r="S38" s="95">
        <f t="shared" si="3"/>
        <v>5789.6165801629695</v>
      </c>
      <c r="T38" s="95">
        <f t="shared" si="4"/>
        <v>23691.983646564266</v>
      </c>
      <c r="U38" s="95">
        <f t="shared" si="5"/>
        <v>31.732706952640008</v>
      </c>
      <c r="V38" s="136">
        <f t="shared" si="6"/>
        <v>50721.38115930021</v>
      </c>
    </row>
    <row r="39" spans="1:22">
      <c r="A39" s="94">
        <v>2049</v>
      </c>
      <c r="D39" s="95">
        <v>16215.042168296352</v>
      </c>
      <c r="E39" s="95">
        <v>5026.4356610230379</v>
      </c>
      <c r="F39" s="95">
        <v>20892.933051289616</v>
      </c>
      <c r="G39" s="95">
        <v>0</v>
      </c>
      <c r="H39" s="136">
        <f t="shared" si="0"/>
        <v>42134.410880609008</v>
      </c>
      <c r="K39" s="95">
        <v>0</v>
      </c>
      <c r="L39" s="95">
        <v>0</v>
      </c>
      <c r="M39" s="95">
        <v>0</v>
      </c>
      <c r="N39" s="95">
        <v>0</v>
      </c>
      <c r="O39" s="136">
        <f t="shared" si="1"/>
        <v>0</v>
      </c>
      <c r="R39" s="95">
        <f t="shared" si="2"/>
        <v>16215.042168296352</v>
      </c>
      <c r="S39" s="95">
        <f t="shared" si="3"/>
        <v>5026.4356610230379</v>
      </c>
      <c r="T39" s="95">
        <f t="shared" si="4"/>
        <v>20892.933051289616</v>
      </c>
      <c r="U39" s="95">
        <f t="shared" si="5"/>
        <v>0</v>
      </c>
      <c r="V39" s="136">
        <f t="shared" si="6"/>
        <v>42134.410880609008</v>
      </c>
    </row>
    <row r="40" spans="1:22">
      <c r="A40" s="94">
        <v>2050</v>
      </c>
      <c r="D40" s="95">
        <v>14235.070915034657</v>
      </c>
      <c r="E40" s="95">
        <v>4537.8320509414707</v>
      </c>
      <c r="F40" s="95">
        <v>18862.072373464518</v>
      </c>
      <c r="G40" s="95">
        <v>0</v>
      </c>
      <c r="H40" s="136">
        <f t="shared" si="0"/>
        <v>37634.975339440643</v>
      </c>
      <c r="K40" s="95">
        <v>0</v>
      </c>
      <c r="L40" s="95">
        <v>0</v>
      </c>
      <c r="M40" s="95">
        <v>0</v>
      </c>
      <c r="N40" s="95">
        <v>0</v>
      </c>
      <c r="O40" s="136">
        <f t="shared" si="1"/>
        <v>0</v>
      </c>
      <c r="R40" s="95">
        <f t="shared" si="2"/>
        <v>14235.070915034657</v>
      </c>
      <c r="S40" s="95">
        <f t="shared" si="3"/>
        <v>4537.8320509414707</v>
      </c>
      <c r="T40" s="95">
        <f t="shared" si="4"/>
        <v>18862.072373464518</v>
      </c>
      <c r="U40" s="95">
        <f t="shared" si="5"/>
        <v>0</v>
      </c>
      <c r="V40" s="136">
        <f t="shared" si="6"/>
        <v>37634.975339440643</v>
      </c>
    </row>
    <row r="41" spans="1:22">
      <c r="A41" s="94">
        <v>2051</v>
      </c>
      <c r="D41" s="95">
        <v>12742.604827327665</v>
      </c>
      <c r="E41" s="95">
        <v>4097.3331281017618</v>
      </c>
      <c r="F41" s="95">
        <v>17031.152247451908</v>
      </c>
      <c r="G41" s="95">
        <v>0</v>
      </c>
      <c r="H41" s="136">
        <f t="shared" si="0"/>
        <v>33871.090202881336</v>
      </c>
      <c r="K41" s="95">
        <v>0</v>
      </c>
      <c r="L41" s="95">
        <v>0</v>
      </c>
      <c r="M41" s="95">
        <v>0</v>
      </c>
      <c r="N41" s="95">
        <v>0</v>
      </c>
      <c r="O41" s="136">
        <f t="shared" si="1"/>
        <v>0</v>
      </c>
      <c r="R41" s="95">
        <f t="shared" si="2"/>
        <v>12742.604827327665</v>
      </c>
      <c r="S41" s="95">
        <f t="shared" si="3"/>
        <v>4097.3331281017618</v>
      </c>
      <c r="T41" s="95">
        <f t="shared" si="4"/>
        <v>17031.152247451908</v>
      </c>
      <c r="U41" s="95">
        <f t="shared" si="5"/>
        <v>0</v>
      </c>
      <c r="V41" s="136">
        <f t="shared" si="6"/>
        <v>33871.090202881336</v>
      </c>
    </row>
    <row r="42" spans="1:22">
      <c r="A42" s="94">
        <v>2052</v>
      </c>
      <c r="D42" s="95">
        <v>7596.7621548777879</v>
      </c>
      <c r="E42" s="95">
        <v>2486.9484454285703</v>
      </c>
      <c r="F42" s="95">
        <v>10337.403503325955</v>
      </c>
      <c r="G42" s="95">
        <v>0</v>
      </c>
      <c r="H42" s="136">
        <f t="shared" si="0"/>
        <v>20421.114103632313</v>
      </c>
      <c r="K42" s="95">
        <v>0</v>
      </c>
      <c r="L42" s="95">
        <v>0</v>
      </c>
      <c r="M42" s="95">
        <v>0</v>
      </c>
      <c r="N42" s="95">
        <v>0</v>
      </c>
      <c r="O42" s="136">
        <f t="shared" si="1"/>
        <v>0</v>
      </c>
      <c r="R42" s="95">
        <f t="shared" si="2"/>
        <v>7596.7621548777879</v>
      </c>
      <c r="S42" s="95">
        <f t="shared" si="3"/>
        <v>2486.9484454285703</v>
      </c>
      <c r="T42" s="95">
        <f t="shared" si="4"/>
        <v>10337.403503325955</v>
      </c>
      <c r="U42" s="95">
        <f t="shared" si="5"/>
        <v>0</v>
      </c>
      <c r="V42" s="136">
        <f t="shared" si="6"/>
        <v>20421.114103632313</v>
      </c>
    </row>
    <row r="43" spans="1:22">
      <c r="A43" s="94">
        <v>2053</v>
      </c>
      <c r="D43" s="95">
        <v>0</v>
      </c>
      <c r="E43" s="95">
        <v>0</v>
      </c>
      <c r="F43" s="95">
        <v>0</v>
      </c>
      <c r="G43" s="95">
        <v>0</v>
      </c>
      <c r="H43" s="136">
        <f t="shared" si="0"/>
        <v>0</v>
      </c>
      <c r="K43" s="95">
        <v>0</v>
      </c>
      <c r="L43" s="95">
        <v>0</v>
      </c>
      <c r="M43" s="95">
        <v>0</v>
      </c>
      <c r="N43" s="95">
        <v>0</v>
      </c>
      <c r="O43" s="136">
        <f t="shared" si="1"/>
        <v>0</v>
      </c>
      <c r="R43" s="95">
        <f t="shared" si="2"/>
        <v>0</v>
      </c>
      <c r="S43" s="95">
        <f t="shared" si="3"/>
        <v>0</v>
      </c>
      <c r="T43" s="95">
        <f t="shared" si="4"/>
        <v>0</v>
      </c>
      <c r="U43" s="95">
        <f t="shared" si="5"/>
        <v>0</v>
      </c>
      <c r="V43" s="136">
        <f t="shared" si="6"/>
        <v>0</v>
      </c>
    </row>
    <row r="44" spans="1:22">
      <c r="A44" s="94">
        <v>2054</v>
      </c>
      <c r="D44" s="95">
        <v>0</v>
      </c>
      <c r="E44" s="95">
        <v>0</v>
      </c>
      <c r="F44" s="95">
        <v>0</v>
      </c>
      <c r="G44" s="95">
        <v>0</v>
      </c>
      <c r="H44" s="136">
        <f t="shared" si="0"/>
        <v>0</v>
      </c>
      <c r="K44" s="95">
        <v>0</v>
      </c>
      <c r="L44" s="95">
        <v>0</v>
      </c>
      <c r="M44" s="95">
        <v>0</v>
      </c>
      <c r="N44" s="95">
        <v>0</v>
      </c>
      <c r="O44" s="136">
        <f t="shared" si="1"/>
        <v>0</v>
      </c>
      <c r="R44" s="95">
        <f t="shared" si="2"/>
        <v>0</v>
      </c>
      <c r="S44" s="95">
        <f t="shared" si="3"/>
        <v>0</v>
      </c>
      <c r="T44" s="95">
        <f t="shared" si="4"/>
        <v>0</v>
      </c>
      <c r="U44" s="95">
        <f t="shared" si="5"/>
        <v>0</v>
      </c>
      <c r="V44" s="136">
        <f t="shared" si="6"/>
        <v>0</v>
      </c>
    </row>
    <row r="45" spans="1:22">
      <c r="A45" s="94">
        <v>2055</v>
      </c>
      <c r="D45" s="95">
        <v>0</v>
      </c>
      <c r="E45" s="95">
        <v>0</v>
      </c>
      <c r="F45" s="95">
        <v>0</v>
      </c>
      <c r="G45" s="95">
        <v>0</v>
      </c>
      <c r="H45" s="136">
        <f t="shared" si="0"/>
        <v>0</v>
      </c>
      <c r="K45" s="95">
        <v>0</v>
      </c>
      <c r="L45" s="95">
        <v>0</v>
      </c>
      <c r="M45" s="95">
        <v>0</v>
      </c>
      <c r="N45" s="95">
        <v>0</v>
      </c>
      <c r="O45" s="136">
        <f t="shared" si="1"/>
        <v>0</v>
      </c>
      <c r="R45" s="95">
        <f t="shared" si="2"/>
        <v>0</v>
      </c>
      <c r="S45" s="95">
        <f t="shared" si="3"/>
        <v>0</v>
      </c>
      <c r="T45" s="95">
        <f t="shared" si="4"/>
        <v>0</v>
      </c>
      <c r="U45" s="95">
        <f t="shared" si="5"/>
        <v>0</v>
      </c>
      <c r="V45" s="136">
        <f t="shared" si="6"/>
        <v>0</v>
      </c>
    </row>
    <row r="47" spans="1:22" customFormat="1" ht="6" customHeight="1" thickBot="1">
      <c r="B47" s="3"/>
      <c r="C47" s="3"/>
      <c r="D47" s="84"/>
      <c r="E47" s="85"/>
      <c r="F47" s="85"/>
      <c r="G47" s="85"/>
      <c r="H47" s="85"/>
      <c r="I47" s="3"/>
      <c r="J47" s="3"/>
      <c r="K47" s="84"/>
      <c r="L47" s="85"/>
      <c r="M47" s="85"/>
      <c r="N47" s="85"/>
      <c r="O47" s="85"/>
      <c r="P47" s="3"/>
      <c r="Q47" s="3"/>
      <c r="R47" s="84"/>
      <c r="S47" s="85"/>
      <c r="T47" s="85"/>
      <c r="U47" s="85"/>
      <c r="V47" s="85"/>
    </row>
    <row r="48" spans="1:22" ht="13.5" thickBot="1">
      <c r="A48" s="89" t="s">
        <v>559</v>
      </c>
      <c r="D48" s="105">
        <f>SUM(D16:D45)</f>
        <v>3105740.7361987657</v>
      </c>
      <c r="E48" s="105">
        <f>SUM(E16:E45)</f>
        <v>446356.57352944545</v>
      </c>
      <c r="F48" s="105">
        <f>SUM(F16:F45)</f>
        <v>2138512.8151412052</v>
      </c>
      <c r="G48" s="105">
        <f>SUM(G16:G45)</f>
        <v>0</v>
      </c>
      <c r="H48" s="105">
        <f>SUM(H16:H45)</f>
        <v>5690610.1248694155</v>
      </c>
      <c r="K48" s="105">
        <f>SUM(K16:K45)</f>
        <v>3087539.9979909691</v>
      </c>
      <c r="L48" s="105">
        <f>SUM(L16:L45)</f>
        <v>348900.38592695806</v>
      </c>
      <c r="M48" s="105">
        <f>SUM(M16:M45)</f>
        <v>811631.99079199659</v>
      </c>
      <c r="N48" s="105">
        <f>SUM(N16:N45)</f>
        <v>57418.078089100003</v>
      </c>
      <c r="O48" s="105">
        <f>SUM(O16:O45)</f>
        <v>4305490.4527990222</v>
      </c>
      <c r="R48" s="105">
        <f>SUM(R16:R45)</f>
        <v>6193280.7341897329</v>
      </c>
      <c r="S48" s="105">
        <f>SUM(S16:S45)</f>
        <v>795256.95945640374</v>
      </c>
      <c r="T48" s="105">
        <f>SUM(T16:T45)</f>
        <v>2950144.8059332022</v>
      </c>
      <c r="U48" s="105">
        <f>SUM(U16:U45)</f>
        <v>57418.078089100003</v>
      </c>
      <c r="V48" s="105">
        <f>SUM(V16:V45)</f>
        <v>9996100.5776684396</v>
      </c>
    </row>
    <row r="65" spans="5:5">
      <c r="E65" s="263"/>
    </row>
  </sheetData>
  <mergeCells count="12">
    <mergeCell ref="R8:U8"/>
    <mergeCell ref="K8:N8"/>
    <mergeCell ref="O8:O10"/>
    <mergeCell ref="C2:Y2"/>
    <mergeCell ref="H8:H10"/>
    <mergeCell ref="C3:V3"/>
    <mergeCell ref="C4:V4"/>
    <mergeCell ref="C6:H6"/>
    <mergeCell ref="J6:O6"/>
    <mergeCell ref="Q6:V6"/>
    <mergeCell ref="D8:G8"/>
    <mergeCell ref="V8:V10"/>
  </mergeCells>
  <pageMargins left="0.511811024" right="0.511811024" top="0.78740157499999996" bottom="0.78740157499999996" header="0.31496062000000002" footer="0.31496062000000002"/>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2F7E65-6EC8-49BB-A15C-C73E5BF8CAB7}">
  <dimension ref="A1:AY47"/>
  <sheetViews>
    <sheetView showGridLines="0" zoomScale="85" zoomScaleNormal="85" workbookViewId="0">
      <pane xSplit="1" ySplit="10" topLeftCell="B20" activePane="bottomRight" state="frozen"/>
      <selection activeCell="B30" sqref="B30"/>
      <selection pane="topRight" activeCell="B30" sqref="B30"/>
      <selection pane="bottomLeft" activeCell="B30" sqref="B30"/>
      <selection pane="bottomRight" activeCell="B30" sqref="B30"/>
    </sheetView>
  </sheetViews>
  <sheetFormatPr defaultColWidth="9.1796875" defaultRowHeight="13"/>
  <cols>
    <col min="1" max="1" width="10.1796875" style="3" bestFit="1" customWidth="1"/>
    <col min="2" max="2" width="2" style="3" customWidth="1"/>
    <col min="3" max="4" width="9.453125" style="3" customWidth="1"/>
    <col min="5" max="6" width="9.26953125" style="3" customWidth="1"/>
    <col min="7" max="9" width="9.453125" style="3" customWidth="1"/>
    <col min="10" max="10" width="2" style="3" customWidth="1"/>
    <col min="11" max="12" width="9.453125" style="3" customWidth="1"/>
    <col min="13" max="14" width="9.26953125" style="3" customWidth="1"/>
    <col min="15" max="17" width="9.453125" style="3" customWidth="1"/>
    <col min="18" max="18" width="2" style="3" customWidth="1"/>
    <col min="19" max="19" width="9.453125" style="3" customWidth="1"/>
    <col min="20" max="20" width="10" style="3" bestFit="1" customWidth="1"/>
    <col min="21" max="21" width="11.26953125" style="3" bestFit="1" customWidth="1"/>
    <col min="22" max="22" width="11.81640625" style="3" bestFit="1" customWidth="1"/>
    <col min="23" max="23" width="11.26953125" style="3" bestFit="1" customWidth="1"/>
    <col min="24" max="24" width="10" style="3" bestFit="1" customWidth="1"/>
    <col min="25" max="16384" width="9.1796875" style="3"/>
  </cols>
  <sheetData>
    <row r="1" spans="1:51" ht="18.5">
      <c r="E1" s="43"/>
    </row>
    <row r="2" spans="1:51" ht="18.5">
      <c r="E2" s="43" t="s">
        <v>1143</v>
      </c>
      <c r="F2" s="43"/>
      <c r="I2" s="107"/>
      <c r="J2" s="107"/>
      <c r="K2" s="107"/>
      <c r="M2" s="43"/>
      <c r="N2" s="43"/>
      <c r="P2" s="107"/>
      <c r="Q2" s="107"/>
      <c r="R2" s="110"/>
      <c r="S2" s="110"/>
      <c r="U2" s="43"/>
      <c r="V2" s="43"/>
      <c r="X2" s="110"/>
      <c r="Y2" s="110"/>
      <c r="Z2" s="110"/>
      <c r="AA2" s="110"/>
      <c r="AB2" s="110"/>
      <c r="AC2" s="110"/>
      <c r="AD2" s="110"/>
      <c r="AE2" s="110"/>
      <c r="AF2" s="110"/>
      <c r="AG2" s="110"/>
      <c r="AH2" s="110"/>
      <c r="AI2" s="110"/>
      <c r="AJ2" s="110"/>
      <c r="AK2" s="110"/>
      <c r="AL2" s="110"/>
      <c r="AM2" s="110"/>
      <c r="AN2" s="110"/>
      <c r="AO2" s="110"/>
      <c r="AP2" s="110"/>
      <c r="AQ2" s="110"/>
      <c r="AR2" s="110"/>
      <c r="AS2" s="110"/>
      <c r="AT2" s="110"/>
      <c r="AU2" s="110"/>
      <c r="AV2" s="110"/>
      <c r="AW2" s="110"/>
      <c r="AX2" s="110"/>
      <c r="AY2" s="110"/>
    </row>
    <row r="3" spans="1:51">
      <c r="E3" s="44" t="s">
        <v>682</v>
      </c>
      <c r="F3" s="44"/>
      <c r="M3" s="44"/>
      <c r="N3" s="44"/>
      <c r="U3" s="44"/>
      <c r="V3" s="44"/>
    </row>
    <row r="5" spans="1:51" ht="12.75" customHeight="1">
      <c r="A5" s="97" t="s">
        <v>1038</v>
      </c>
      <c r="C5" s="425" t="s">
        <v>1036</v>
      </c>
      <c r="D5" s="425"/>
      <c r="E5" s="425"/>
      <c r="F5" s="425"/>
      <c r="G5" s="425"/>
      <c r="H5" s="425"/>
      <c r="I5" s="425"/>
      <c r="K5" s="425" t="s">
        <v>37</v>
      </c>
      <c r="L5" s="425"/>
      <c r="M5" s="425"/>
      <c r="N5" s="425"/>
      <c r="O5" s="425"/>
      <c r="P5" s="425"/>
      <c r="Q5" s="97"/>
      <c r="S5" s="425" t="s">
        <v>1142</v>
      </c>
      <c r="T5" s="425"/>
      <c r="U5" s="425"/>
      <c r="V5" s="425"/>
      <c r="W5" s="425"/>
      <c r="X5" s="425"/>
      <c r="Y5" s="425"/>
    </row>
    <row r="6" spans="1:51" customFormat="1" ht="3" customHeight="1">
      <c r="B6" s="3"/>
      <c r="C6" s="84"/>
      <c r="D6" s="85"/>
      <c r="E6" s="85"/>
      <c r="F6" s="85"/>
      <c r="G6" s="85"/>
      <c r="H6" s="85"/>
      <c r="J6" s="3"/>
      <c r="K6" s="84"/>
      <c r="L6" s="85"/>
      <c r="M6" s="85"/>
      <c r="N6" s="85"/>
      <c r="O6" s="85"/>
      <c r="P6" s="85"/>
      <c r="Q6" s="85"/>
      <c r="R6" s="3"/>
      <c r="T6" s="85"/>
      <c r="U6" s="85"/>
      <c r="V6" s="85"/>
      <c r="W6" s="85"/>
    </row>
    <row r="7" spans="1:51" customFormat="1" ht="15" customHeight="1">
      <c r="B7" s="3"/>
      <c r="C7" s="428" t="s">
        <v>576</v>
      </c>
      <c r="D7" s="432" t="s">
        <v>573</v>
      </c>
      <c r="E7" s="432" t="s">
        <v>574</v>
      </c>
      <c r="F7" s="432" t="s">
        <v>575</v>
      </c>
      <c r="G7" s="424" t="s">
        <v>1141</v>
      </c>
      <c r="H7" s="428"/>
      <c r="I7" s="428" t="s">
        <v>563</v>
      </c>
      <c r="J7" s="3"/>
      <c r="K7" s="428" t="s">
        <v>576</v>
      </c>
      <c r="L7" s="432" t="s">
        <v>573</v>
      </c>
      <c r="M7" s="432" t="s">
        <v>574</v>
      </c>
      <c r="N7" s="432" t="s">
        <v>575</v>
      </c>
      <c r="O7" s="424" t="s">
        <v>1141</v>
      </c>
      <c r="P7" s="428"/>
      <c r="Q7" s="428" t="s">
        <v>563</v>
      </c>
      <c r="R7" s="3"/>
      <c r="S7" s="428" t="s">
        <v>576</v>
      </c>
      <c r="T7" s="432" t="s">
        <v>573</v>
      </c>
      <c r="U7" s="432" t="s">
        <v>574</v>
      </c>
      <c r="V7" s="432" t="s">
        <v>575</v>
      </c>
      <c r="W7" s="424" t="s">
        <v>1141</v>
      </c>
      <c r="X7" s="428"/>
      <c r="Y7" s="428" t="s">
        <v>563</v>
      </c>
    </row>
    <row r="8" spans="1:51">
      <c r="A8" s="97" t="s">
        <v>104</v>
      </c>
      <c r="C8" s="428"/>
      <c r="D8" s="432"/>
      <c r="E8" s="432"/>
      <c r="F8" s="432"/>
      <c r="G8" s="98" t="s">
        <v>1140</v>
      </c>
      <c r="H8" s="98" t="s">
        <v>1139</v>
      </c>
      <c r="I8" s="428"/>
      <c r="K8" s="428"/>
      <c r="L8" s="432"/>
      <c r="M8" s="432"/>
      <c r="N8" s="432"/>
      <c r="O8" s="97" t="s">
        <v>1140</v>
      </c>
      <c r="P8" s="98" t="s">
        <v>1139</v>
      </c>
      <c r="Q8" s="428"/>
      <c r="S8" s="428"/>
      <c r="T8" s="432"/>
      <c r="U8" s="432"/>
      <c r="V8" s="432"/>
      <c r="W8" s="97" t="s">
        <v>1140</v>
      </c>
      <c r="X8" s="98" t="s">
        <v>1139</v>
      </c>
      <c r="Y8" s="428"/>
    </row>
    <row r="9" spans="1:51" customFormat="1" ht="3" customHeight="1">
      <c r="B9" s="3"/>
      <c r="C9" s="84"/>
      <c r="D9" s="85"/>
      <c r="E9" s="85"/>
      <c r="F9" s="85"/>
      <c r="G9" s="85"/>
      <c r="H9" s="85"/>
      <c r="I9" s="85"/>
      <c r="J9" s="3"/>
      <c r="K9" s="84"/>
      <c r="L9" s="85"/>
      <c r="M9" s="85"/>
      <c r="N9" s="85"/>
      <c r="O9" s="85"/>
      <c r="P9" s="85"/>
      <c r="Q9" s="85"/>
      <c r="R9" s="3"/>
      <c r="S9" s="84"/>
      <c r="T9" s="85"/>
      <c r="U9" s="85"/>
      <c r="V9" s="85"/>
      <c r="W9" s="85"/>
      <c r="X9" s="85"/>
    </row>
    <row r="10" spans="1:51" s="103" customFormat="1" ht="14.25" customHeight="1">
      <c r="A10" s="102"/>
      <c r="C10" s="104" t="s">
        <v>560</v>
      </c>
      <c r="D10" s="104" t="s">
        <v>561</v>
      </c>
      <c r="E10" s="104" t="s">
        <v>561</v>
      </c>
      <c r="F10" s="104" t="s">
        <v>561</v>
      </c>
      <c r="G10" s="104" t="s">
        <v>561</v>
      </c>
      <c r="H10" s="104" t="s">
        <v>561</v>
      </c>
      <c r="I10" s="104" t="s">
        <v>562</v>
      </c>
      <c r="K10" s="104" t="s">
        <v>560</v>
      </c>
      <c r="L10" s="104" t="s">
        <v>561</v>
      </c>
      <c r="M10" s="104" t="s">
        <v>561</v>
      </c>
      <c r="N10" s="104" t="s">
        <v>561</v>
      </c>
      <c r="O10" s="104" t="s">
        <v>561</v>
      </c>
      <c r="P10" s="104" t="s">
        <v>561</v>
      </c>
      <c r="Q10" s="104" t="s">
        <v>562</v>
      </c>
      <c r="S10" s="104" t="s">
        <v>560</v>
      </c>
      <c r="T10" s="104" t="s">
        <v>561</v>
      </c>
      <c r="U10" s="104" t="s">
        <v>561</v>
      </c>
      <c r="V10" s="104" t="s">
        <v>561</v>
      </c>
      <c r="W10" s="104" t="s">
        <v>561</v>
      </c>
      <c r="X10" s="104" t="s">
        <v>561</v>
      </c>
      <c r="Y10" s="104" t="s">
        <v>562</v>
      </c>
    </row>
    <row r="11" spans="1:51" s="38" customFormat="1" ht="4.5" customHeight="1">
      <c r="A11" s="99"/>
      <c r="C11" s="100"/>
      <c r="D11" s="100"/>
      <c r="E11" s="100"/>
      <c r="F11" s="100"/>
      <c r="G11" s="100"/>
      <c r="H11" s="100"/>
      <c r="I11" s="100"/>
      <c r="K11" s="101"/>
      <c r="L11" s="100"/>
      <c r="M11" s="100"/>
      <c r="N11" s="100"/>
      <c r="O11" s="100"/>
      <c r="P11" s="101"/>
      <c r="Q11" s="101"/>
      <c r="S11" s="101"/>
      <c r="T11" s="100"/>
      <c r="U11" s="100"/>
      <c r="V11" s="100"/>
      <c r="W11" s="100"/>
      <c r="X11" s="101"/>
    </row>
    <row r="12" spans="1:51">
      <c r="A12" s="94">
        <v>2026</v>
      </c>
      <c r="C12" s="264" cm="1">
        <f t="array" ref="C12:C44">TRANSPOSE('Certificação de Reservas'!D39:AJ39)</f>
        <v>4.7431441496659819</v>
      </c>
      <c r="D12" s="95">
        <v>19637.045298022516</v>
      </c>
      <c r="E12" s="95">
        <v>34862.992739498586</v>
      </c>
      <c r="F12" s="95">
        <v>0</v>
      </c>
      <c r="G12" s="95">
        <v>71800.651312854519</v>
      </c>
      <c r="H12" s="95">
        <v>14823.694059004474</v>
      </c>
      <c r="I12" s="267">
        <f>G12/(C12*1000)</f>
        <v>15.137775502334419</v>
      </c>
      <c r="K12" s="264" cm="1">
        <f t="array" ref="K12:K44">TRANSPOSE('Certificação de Reservas'!D43:AJ43)</f>
        <v>4.940836464276102</v>
      </c>
      <c r="L12" s="95">
        <v>23339.960053601142</v>
      </c>
      <c r="M12" s="95">
        <v>78636.303921254948</v>
      </c>
      <c r="N12" s="95">
        <v>0</v>
      </c>
      <c r="O12" s="95">
        <v>51822.407457395362</v>
      </c>
      <c r="P12" s="95">
        <v>12816.048238745925</v>
      </c>
      <c r="Q12" s="267">
        <f>O12/(K12*1000)</f>
        <v>10.488589904176891</v>
      </c>
      <c r="S12" s="264">
        <f t="shared" ref="S12:S41" si="0">K12+C12</f>
        <v>9.683980613942083</v>
      </c>
      <c r="T12" s="95">
        <f t="shared" ref="T12:X41" si="1">L12+D12</f>
        <v>42977.005351623658</v>
      </c>
      <c r="U12" s="95">
        <f t="shared" si="1"/>
        <v>113499.29666075353</v>
      </c>
      <c r="V12" s="95">
        <f t="shared" si="1"/>
        <v>0</v>
      </c>
      <c r="W12" s="95">
        <f t="shared" si="1"/>
        <v>123623.05877024989</v>
      </c>
      <c r="X12" s="95">
        <f t="shared" si="1"/>
        <v>27639.742297750399</v>
      </c>
      <c r="Y12" s="267">
        <f>W12/(S12*1000)</f>
        <v>12.765727617449899</v>
      </c>
      <c r="Z12" s="3">
        <f>X12/(S12*1000)</f>
        <v>2.8541715849737761</v>
      </c>
    </row>
    <row r="13" spans="1:51">
      <c r="A13" s="94">
        <v>2027</v>
      </c>
      <c r="C13" s="264">
        <v>5.5565975835513379</v>
      </c>
      <c r="D13" s="95">
        <v>21803.019793679101</v>
      </c>
      <c r="E13" s="95">
        <v>61736.946870737782</v>
      </c>
      <c r="F13" s="95">
        <v>0</v>
      </c>
      <c r="G13" s="95">
        <v>74487.169612902653</v>
      </c>
      <c r="H13" s="95">
        <v>17983.8172766424</v>
      </c>
      <c r="I13" s="267">
        <f t="shared" ref="I13:I38" si="2">G13/(C13*1000)</f>
        <v>13.405176187924759</v>
      </c>
      <c r="K13" s="264">
        <v>5.2877731289487535</v>
      </c>
      <c r="L13" s="95">
        <v>25024.701593007743</v>
      </c>
      <c r="M13" s="95">
        <v>68110.710666228028</v>
      </c>
      <c r="N13" s="95">
        <v>0</v>
      </c>
      <c r="O13" s="95">
        <v>56378.701418224147</v>
      </c>
      <c r="P13" s="95">
        <v>13223.802874218016</v>
      </c>
      <c r="Q13" s="267">
        <f t="shared" ref="Q13:Q34" si="3">O13/(K13*1000)</f>
        <v>10.662087809624431</v>
      </c>
      <c r="S13" s="264">
        <f t="shared" si="0"/>
        <v>10.844370712500091</v>
      </c>
      <c r="T13" s="95">
        <f t="shared" si="1"/>
        <v>46827.721386686841</v>
      </c>
      <c r="U13" s="95">
        <f t="shared" si="1"/>
        <v>129847.65753696581</v>
      </c>
      <c r="V13" s="95">
        <f t="shared" si="1"/>
        <v>0</v>
      </c>
      <c r="W13" s="95">
        <f t="shared" si="1"/>
        <v>130865.87103112679</v>
      </c>
      <c r="X13" s="95">
        <f t="shared" si="1"/>
        <v>31207.620150860414</v>
      </c>
      <c r="Y13" s="267">
        <f t="shared" ref="Y13:Y38" si="4">W13/(S13*1000)</f>
        <v>12.067631631246273</v>
      </c>
    </row>
    <row r="14" spans="1:51">
      <c r="A14" s="94">
        <v>2028</v>
      </c>
      <c r="C14" s="264">
        <v>6.2211431521155927</v>
      </c>
      <c r="D14" s="95">
        <v>23240.476776272073</v>
      </c>
      <c r="E14" s="95">
        <v>78664.378065818062</v>
      </c>
      <c r="F14" s="95">
        <v>94.619</v>
      </c>
      <c r="G14" s="95">
        <v>77001.068344693413</v>
      </c>
      <c r="H14" s="95">
        <v>21258.248572066637</v>
      </c>
      <c r="I14" s="267">
        <f t="shared" si="2"/>
        <v>12.377318197300772</v>
      </c>
      <c r="K14" s="264">
        <v>5.688539120554081</v>
      </c>
      <c r="L14" s="95">
        <v>27021.896685495147</v>
      </c>
      <c r="M14" s="95">
        <v>66875.762000726536</v>
      </c>
      <c r="N14" s="95">
        <v>0</v>
      </c>
      <c r="O14" s="95">
        <v>60525.46568671408</v>
      </c>
      <c r="P14" s="95">
        <v>13250.467303548859</v>
      </c>
      <c r="Q14" s="267">
        <f t="shared" si="3"/>
        <v>10.639896184948574</v>
      </c>
      <c r="S14" s="264">
        <f t="shared" si="0"/>
        <v>11.909682272669674</v>
      </c>
      <c r="T14" s="95">
        <f t="shared" si="1"/>
        <v>50262.373461767216</v>
      </c>
      <c r="U14" s="95">
        <f t="shared" si="1"/>
        <v>145540.14006654458</v>
      </c>
      <c r="V14" s="95">
        <f t="shared" si="1"/>
        <v>94.619</v>
      </c>
      <c r="W14" s="95">
        <f t="shared" si="1"/>
        <v>137526.5340314075</v>
      </c>
      <c r="X14" s="95">
        <f t="shared" si="1"/>
        <v>34508.715875615497</v>
      </c>
      <c r="Y14" s="267">
        <f t="shared" si="4"/>
        <v>11.547456169087168</v>
      </c>
    </row>
    <row r="15" spans="1:51">
      <c r="A15" s="94">
        <v>2029</v>
      </c>
      <c r="C15" s="264">
        <v>6.4555014965890303</v>
      </c>
      <c r="D15" s="95">
        <v>24131.230371232701</v>
      </c>
      <c r="E15" s="95">
        <v>67270.224104625377</v>
      </c>
      <c r="F15" s="95">
        <v>109.593</v>
      </c>
      <c r="G15" s="95">
        <v>80084.970769807929</v>
      </c>
      <c r="H15" s="95">
        <v>22075.256500389816</v>
      </c>
      <c r="I15" s="267">
        <f t="shared" si="2"/>
        <v>12.405693161425704</v>
      </c>
      <c r="K15" s="264">
        <v>6.0377267710037419</v>
      </c>
      <c r="L15" s="95">
        <v>29077.65480538124</v>
      </c>
      <c r="M15" s="95">
        <v>66394.645441800618</v>
      </c>
      <c r="N15" s="95">
        <v>0</v>
      </c>
      <c r="O15" s="95">
        <v>63547.687787279159</v>
      </c>
      <c r="P15" s="95">
        <v>13516.712513180821</v>
      </c>
      <c r="Q15" s="267">
        <f t="shared" si="3"/>
        <v>10.52510161481101</v>
      </c>
      <c r="S15" s="264">
        <f t="shared" si="0"/>
        <v>12.493228267592773</v>
      </c>
      <c r="T15" s="95">
        <f t="shared" si="1"/>
        <v>53208.885176613941</v>
      </c>
      <c r="U15" s="95">
        <f t="shared" si="1"/>
        <v>133664.86954642599</v>
      </c>
      <c r="V15" s="95">
        <f t="shared" si="1"/>
        <v>109.593</v>
      </c>
      <c r="W15" s="95">
        <f t="shared" si="1"/>
        <v>143632.6585570871</v>
      </c>
      <c r="X15" s="95">
        <f t="shared" si="1"/>
        <v>35591.969013570633</v>
      </c>
      <c r="Y15" s="267">
        <f t="shared" si="4"/>
        <v>11.496840967011531</v>
      </c>
    </row>
    <row r="16" spans="1:51">
      <c r="A16" s="94">
        <v>2030</v>
      </c>
      <c r="C16" s="264">
        <v>6.9889376595547397</v>
      </c>
      <c r="D16" s="95">
        <v>25844.293770336015</v>
      </c>
      <c r="E16" s="95">
        <v>67109.368708160386</v>
      </c>
      <c r="F16" s="95">
        <v>109.593</v>
      </c>
      <c r="G16" s="95">
        <v>83324.759088679813</v>
      </c>
      <c r="H16" s="95">
        <v>24799.974150501152</v>
      </c>
      <c r="I16" s="267">
        <f t="shared" si="2"/>
        <v>11.922378356711279</v>
      </c>
      <c r="K16" s="264">
        <v>6.5110883803053188</v>
      </c>
      <c r="L16" s="95">
        <v>31839.645232826413</v>
      </c>
      <c r="M16" s="95">
        <v>60732.960365045859</v>
      </c>
      <c r="N16" s="95">
        <v>0</v>
      </c>
      <c r="O16" s="95">
        <v>66599.616302366412</v>
      </c>
      <c r="P16" s="95">
        <v>14141.673558721886</v>
      </c>
      <c r="Q16" s="267">
        <f t="shared" si="3"/>
        <v>10.22864572132308</v>
      </c>
      <c r="S16" s="264">
        <f t="shared" si="0"/>
        <v>13.500026039860058</v>
      </c>
      <c r="T16" s="95">
        <f t="shared" si="1"/>
        <v>57683.939003162428</v>
      </c>
      <c r="U16" s="95">
        <f t="shared" si="1"/>
        <v>127842.32907320625</v>
      </c>
      <c r="V16" s="95">
        <f t="shared" si="1"/>
        <v>109.593</v>
      </c>
      <c r="W16" s="95">
        <f t="shared" si="1"/>
        <v>149924.37539104623</v>
      </c>
      <c r="X16" s="95">
        <f t="shared" si="1"/>
        <v>38941.647709223034</v>
      </c>
      <c r="Y16" s="267">
        <f t="shared" si="4"/>
        <v>11.105487867088614</v>
      </c>
    </row>
    <row r="17" spans="1:25">
      <c r="A17" s="94">
        <v>2031</v>
      </c>
      <c r="C17" s="264">
        <v>7.2571311361003819</v>
      </c>
      <c r="D17" s="95">
        <v>27241.725847657068</v>
      </c>
      <c r="E17" s="95">
        <v>72438.949699140561</v>
      </c>
      <c r="F17" s="95">
        <v>109.593</v>
      </c>
      <c r="G17" s="95">
        <v>84457.431011460154</v>
      </c>
      <c r="H17" s="95">
        <v>25364.179982511083</v>
      </c>
      <c r="I17" s="267">
        <f t="shared" si="2"/>
        <v>11.63785377824154</v>
      </c>
      <c r="K17" s="264">
        <v>6.1257030045936309</v>
      </c>
      <c r="L17" s="95">
        <v>30006.757765464077</v>
      </c>
      <c r="M17" s="95">
        <v>39558.765519806424</v>
      </c>
      <c r="N17" s="95">
        <v>0</v>
      </c>
      <c r="O17" s="95">
        <v>68186.112621136985</v>
      </c>
      <c r="P17" s="95">
        <v>13568.515183175186</v>
      </c>
      <c r="Q17" s="267">
        <f t="shared" si="3"/>
        <v>11.13114895874067</v>
      </c>
      <c r="S17" s="264">
        <f t="shared" si="0"/>
        <v>13.382834140694012</v>
      </c>
      <c r="T17" s="95">
        <f t="shared" si="1"/>
        <v>57248.483613121149</v>
      </c>
      <c r="U17" s="95">
        <f t="shared" si="1"/>
        <v>111997.71521894698</v>
      </c>
      <c r="V17" s="95">
        <f t="shared" si="1"/>
        <v>109.593</v>
      </c>
      <c r="W17" s="95">
        <f t="shared" si="1"/>
        <v>152643.54363259714</v>
      </c>
      <c r="X17" s="95">
        <f t="shared" si="1"/>
        <v>38932.695165686266</v>
      </c>
      <c r="Y17" s="267">
        <f t="shared" si="4"/>
        <v>11.405920601559609</v>
      </c>
    </row>
    <row r="18" spans="1:25">
      <c r="A18" s="94">
        <v>2032</v>
      </c>
      <c r="C18" s="264">
        <v>7.8659794088387898</v>
      </c>
      <c r="D18" s="95">
        <v>29300.149957384252</v>
      </c>
      <c r="E18" s="95">
        <v>75785.211266838553</v>
      </c>
      <c r="F18" s="95">
        <v>109.593</v>
      </c>
      <c r="G18" s="95">
        <v>87635.266012126012</v>
      </c>
      <c r="H18" s="95">
        <v>27930.909708369178</v>
      </c>
      <c r="I18" s="267">
        <f t="shared" si="2"/>
        <v>11.141049506645366</v>
      </c>
      <c r="K18" s="264">
        <v>5.3976918039770174</v>
      </c>
      <c r="L18" s="95">
        <v>26666.090432578058</v>
      </c>
      <c r="M18" s="95">
        <v>23374.042762235811</v>
      </c>
      <c r="N18" s="95">
        <v>0</v>
      </c>
      <c r="O18" s="95">
        <v>68106.813183496473</v>
      </c>
      <c r="P18" s="95">
        <v>11592.810845472864</v>
      </c>
      <c r="Q18" s="267">
        <f t="shared" si="3"/>
        <v>12.617766196527819</v>
      </c>
      <c r="S18" s="264">
        <f t="shared" si="0"/>
        <v>13.263671212815808</v>
      </c>
      <c r="T18" s="95">
        <f t="shared" si="1"/>
        <v>55966.24038996231</v>
      </c>
      <c r="U18" s="95">
        <f t="shared" si="1"/>
        <v>99159.254029074364</v>
      </c>
      <c r="V18" s="95">
        <f t="shared" si="1"/>
        <v>109.593</v>
      </c>
      <c r="W18" s="95">
        <f t="shared" si="1"/>
        <v>155742.07919562247</v>
      </c>
      <c r="X18" s="95">
        <f t="shared" si="1"/>
        <v>39523.720553842038</v>
      </c>
      <c r="Y18" s="267">
        <f t="shared" si="4"/>
        <v>11.742003906515656</v>
      </c>
    </row>
    <row r="19" spans="1:25">
      <c r="A19" s="94">
        <v>2033</v>
      </c>
      <c r="C19" s="264">
        <v>7.8279032529521118</v>
      </c>
      <c r="D19" s="95">
        <v>29207.985020347984</v>
      </c>
      <c r="E19" s="95">
        <v>35398.150782305689</v>
      </c>
      <c r="F19" s="95">
        <v>14.974</v>
      </c>
      <c r="G19" s="95">
        <v>90707.190775135707</v>
      </c>
      <c r="H19" s="95">
        <v>27667.617705911758</v>
      </c>
      <c r="I19" s="267">
        <f t="shared" si="2"/>
        <v>11.587673971433869</v>
      </c>
      <c r="K19" s="264">
        <v>4.8401865334747241</v>
      </c>
      <c r="L19" s="95">
        <v>23924.625818884811</v>
      </c>
      <c r="M19" s="95">
        <v>39147.973471700614</v>
      </c>
      <c r="N19" s="95">
        <v>0</v>
      </c>
      <c r="O19" s="95">
        <v>68608.50794398757</v>
      </c>
      <c r="P19" s="95">
        <v>10205.889213462127</v>
      </c>
      <c r="Q19" s="267">
        <f t="shared" si="3"/>
        <v>14.17476526358875</v>
      </c>
      <c r="S19" s="264">
        <f t="shared" si="0"/>
        <v>12.668089786426837</v>
      </c>
      <c r="T19" s="95">
        <f t="shared" si="1"/>
        <v>53132.610839232795</v>
      </c>
      <c r="U19" s="95">
        <f t="shared" si="1"/>
        <v>74546.12425400631</v>
      </c>
      <c r="V19" s="95">
        <f t="shared" si="1"/>
        <v>14.974</v>
      </c>
      <c r="W19" s="95">
        <f t="shared" si="1"/>
        <v>159315.69871912326</v>
      </c>
      <c r="X19" s="95">
        <f t="shared" si="1"/>
        <v>37873.506919373889</v>
      </c>
      <c r="Y19" s="267">
        <f t="shared" si="4"/>
        <v>12.576142212839484</v>
      </c>
    </row>
    <row r="20" spans="1:25">
      <c r="A20" s="94">
        <v>2034</v>
      </c>
      <c r="C20" s="264">
        <v>7.1756594140477121</v>
      </c>
      <c r="D20" s="95">
        <v>27076.736804381151</v>
      </c>
      <c r="E20" s="95">
        <v>19167.956105848472</v>
      </c>
      <c r="F20" s="95">
        <v>60.066000000000003</v>
      </c>
      <c r="G20" s="95">
        <v>90988.404249015031</v>
      </c>
      <c r="H20" s="95">
        <v>24734.022445167866</v>
      </c>
      <c r="I20" s="267">
        <f t="shared" si="2"/>
        <v>12.68014533561724</v>
      </c>
      <c r="K20" s="264">
        <v>4.2447375036826491</v>
      </c>
      <c r="L20" s="95">
        <v>20970.539915912712</v>
      </c>
      <c r="M20" s="95">
        <v>7404.1450143948114</v>
      </c>
      <c r="N20" s="95">
        <v>0</v>
      </c>
      <c r="O20" s="95">
        <v>68476.297633453956</v>
      </c>
      <c r="P20" s="95">
        <v>8699.1966984253304</v>
      </c>
      <c r="Q20" s="267">
        <f t="shared" si="3"/>
        <v>16.132045285260936</v>
      </c>
      <c r="S20" s="264">
        <f t="shared" si="0"/>
        <v>11.420396917730361</v>
      </c>
      <c r="T20" s="95">
        <f t="shared" si="1"/>
        <v>48047.276720293863</v>
      </c>
      <c r="U20" s="95">
        <f t="shared" si="1"/>
        <v>26572.101120243286</v>
      </c>
      <c r="V20" s="95">
        <f t="shared" si="1"/>
        <v>60.066000000000003</v>
      </c>
      <c r="W20" s="95">
        <f t="shared" si="1"/>
        <v>159464.701882469</v>
      </c>
      <c r="X20" s="95">
        <f t="shared" si="1"/>
        <v>33433.219143593196</v>
      </c>
      <c r="Y20" s="267">
        <f t="shared" si="4"/>
        <v>13.963148831972498</v>
      </c>
    </row>
    <row r="21" spans="1:25">
      <c r="A21" s="94">
        <v>2035</v>
      </c>
      <c r="C21" s="264">
        <v>6.4554697389990077</v>
      </c>
      <c r="D21" s="95">
        <v>24492.404611377544</v>
      </c>
      <c r="E21" s="95">
        <v>17517.326315951326</v>
      </c>
      <c r="F21" s="95">
        <v>60.066000000000003</v>
      </c>
      <c r="G21" s="95">
        <v>89644.963586811064</v>
      </c>
      <c r="H21" s="95">
        <v>21885.362698802473</v>
      </c>
      <c r="I21" s="267">
        <f t="shared" si="2"/>
        <v>13.88666777341466</v>
      </c>
      <c r="K21" s="264">
        <v>3.7463738115533829</v>
      </c>
      <c r="L21" s="95">
        <v>18584.400071861568</v>
      </c>
      <c r="M21" s="95">
        <v>12678.138738290172</v>
      </c>
      <c r="N21" s="95">
        <v>17.347000000000001</v>
      </c>
      <c r="O21" s="95">
        <v>67966.055444148791</v>
      </c>
      <c r="P21" s="95">
        <v>7510.1222717978826</v>
      </c>
      <c r="Q21" s="267">
        <f t="shared" si="3"/>
        <v>18.141824298085083</v>
      </c>
      <c r="S21" s="264">
        <f t="shared" si="0"/>
        <v>10.20184355055239</v>
      </c>
      <c r="T21" s="95">
        <f t="shared" si="1"/>
        <v>43076.804683239112</v>
      </c>
      <c r="U21" s="95">
        <f t="shared" si="1"/>
        <v>30195.465054241497</v>
      </c>
      <c r="V21" s="95">
        <f t="shared" si="1"/>
        <v>77.413000000000011</v>
      </c>
      <c r="W21" s="95">
        <f t="shared" si="1"/>
        <v>157611.01903095987</v>
      </c>
      <c r="X21" s="95">
        <f t="shared" si="1"/>
        <v>29395.484970600355</v>
      </c>
      <c r="Y21" s="267">
        <f t="shared" si="4"/>
        <v>15.449268384676007</v>
      </c>
    </row>
    <row r="22" spans="1:25">
      <c r="A22" s="94">
        <v>2036</v>
      </c>
      <c r="C22" s="264">
        <v>5.8359343675156339</v>
      </c>
      <c r="D22" s="95">
        <v>22144.339729843599</v>
      </c>
      <c r="E22" s="95">
        <v>19924.202235489112</v>
      </c>
      <c r="F22" s="95">
        <v>60.066000000000003</v>
      </c>
      <c r="G22" s="95">
        <v>88404.165503098891</v>
      </c>
      <c r="H22" s="95">
        <v>19682.926048466976</v>
      </c>
      <c r="I22" s="267">
        <f t="shared" si="2"/>
        <v>15.148245325578031</v>
      </c>
      <c r="K22" s="264">
        <v>3.3346463085709455</v>
      </c>
      <c r="L22" s="95">
        <v>16593.018921392806</v>
      </c>
      <c r="M22" s="95">
        <v>7476.0964723163279</v>
      </c>
      <c r="N22" s="95">
        <v>17.347000000000001</v>
      </c>
      <c r="O22" s="95">
        <v>67463.746996645466</v>
      </c>
      <c r="P22" s="95">
        <v>6571.3142532524525</v>
      </c>
      <c r="Q22" s="267">
        <f t="shared" si="3"/>
        <v>20.231155197252956</v>
      </c>
      <c r="S22" s="264">
        <f t="shared" si="0"/>
        <v>9.1705806760865798</v>
      </c>
      <c r="T22" s="95">
        <f t="shared" si="1"/>
        <v>38737.358651236405</v>
      </c>
      <c r="U22" s="95">
        <f t="shared" si="1"/>
        <v>27400.298707805439</v>
      </c>
      <c r="V22" s="95">
        <f t="shared" si="1"/>
        <v>77.413000000000011</v>
      </c>
      <c r="W22" s="95">
        <f t="shared" si="1"/>
        <v>155867.91249974436</v>
      </c>
      <c r="X22" s="95">
        <f t="shared" si="1"/>
        <v>26254.24030171943</v>
      </c>
      <c r="Y22" s="267">
        <f t="shared" si="4"/>
        <v>16.996515052333507</v>
      </c>
    </row>
    <row r="23" spans="1:25">
      <c r="A23" s="94">
        <f>A22+1</f>
        <v>2037</v>
      </c>
      <c r="C23" s="264">
        <v>5.207164214135874</v>
      </c>
      <c r="D23" s="95">
        <v>19627.974154094969</v>
      </c>
      <c r="E23" s="95">
        <v>0</v>
      </c>
      <c r="F23" s="95">
        <v>60.066000000000003</v>
      </c>
      <c r="G23" s="95">
        <v>86372.272771377713</v>
      </c>
      <c r="H23" s="95">
        <v>17690.20551994356</v>
      </c>
      <c r="I23" s="267">
        <f t="shared" si="2"/>
        <v>16.587199715519464</v>
      </c>
      <c r="K23" s="264">
        <v>2.9307336017727303</v>
      </c>
      <c r="L23" s="95">
        <v>14595.362130704914</v>
      </c>
      <c r="M23" s="95">
        <v>0</v>
      </c>
      <c r="N23" s="95">
        <v>124.392</v>
      </c>
      <c r="O23" s="95">
        <v>66378.164280628946</v>
      </c>
      <c r="P23" s="95">
        <v>5746.4441552357812</v>
      </c>
      <c r="Q23" s="267">
        <f t="shared" si="3"/>
        <v>22.648992812065345</v>
      </c>
      <c r="S23" s="264">
        <f t="shared" si="0"/>
        <v>8.1378978159086053</v>
      </c>
      <c r="T23" s="95">
        <f t="shared" si="1"/>
        <v>34223.33628479988</v>
      </c>
      <c r="U23" s="95">
        <f t="shared" si="1"/>
        <v>0</v>
      </c>
      <c r="V23" s="95">
        <f t="shared" si="1"/>
        <v>184.458</v>
      </c>
      <c r="W23" s="95">
        <f t="shared" si="1"/>
        <v>152750.43705200666</v>
      </c>
      <c r="X23" s="95">
        <f t="shared" si="1"/>
        <v>23436.649675179342</v>
      </c>
      <c r="Y23" s="267">
        <f t="shared" si="4"/>
        <v>18.770257443316385</v>
      </c>
    </row>
    <row r="24" spans="1:25">
      <c r="A24" s="94">
        <v>2038</v>
      </c>
      <c r="C24" s="264">
        <v>4.5900453017390577</v>
      </c>
      <c r="D24" s="95">
        <v>17239.472361838983</v>
      </c>
      <c r="E24" s="95">
        <v>0</v>
      </c>
      <c r="F24" s="95">
        <v>60.065999999999974</v>
      </c>
      <c r="G24" s="95">
        <v>84148.49421374801</v>
      </c>
      <c r="H24" s="95">
        <v>15681.039893667203</v>
      </c>
      <c r="I24" s="267">
        <f t="shared" si="2"/>
        <v>18.332824336584689</v>
      </c>
      <c r="K24" s="264">
        <v>2.5638531458029403</v>
      </c>
      <c r="L24" s="95">
        <v>12762.958489195584</v>
      </c>
      <c r="M24" s="95">
        <v>0</v>
      </c>
      <c r="N24" s="95">
        <v>124.392</v>
      </c>
      <c r="O24" s="95">
        <v>64732.134686435005</v>
      </c>
      <c r="P24" s="95">
        <v>5036.5803111398745</v>
      </c>
      <c r="Q24" s="267">
        <f t="shared" si="3"/>
        <v>25.247988478748216</v>
      </c>
      <c r="S24" s="264">
        <f t="shared" si="0"/>
        <v>7.153898447541998</v>
      </c>
      <c r="T24" s="95">
        <f t="shared" si="1"/>
        <v>30002.430851034565</v>
      </c>
      <c r="U24" s="95">
        <f t="shared" si="1"/>
        <v>0</v>
      </c>
      <c r="V24" s="95">
        <f t="shared" si="1"/>
        <v>184.45799999999997</v>
      </c>
      <c r="W24" s="95">
        <f t="shared" si="1"/>
        <v>148880.62890018302</v>
      </c>
      <c r="X24" s="95">
        <f t="shared" si="1"/>
        <v>20717.620204807077</v>
      </c>
      <c r="Y24" s="267">
        <f t="shared" si="4"/>
        <v>20.811118579875394</v>
      </c>
    </row>
    <row r="25" spans="1:25">
      <c r="A25" s="94">
        <v>2039</v>
      </c>
      <c r="C25" s="264">
        <v>4.0666158265689871</v>
      </c>
      <c r="D25" s="95">
        <v>15230.122844993857</v>
      </c>
      <c r="E25" s="95">
        <v>0</v>
      </c>
      <c r="F25" s="95">
        <v>0</v>
      </c>
      <c r="G25" s="95">
        <v>81929.274211980199</v>
      </c>
      <c r="H25" s="95">
        <v>13960.216919239365</v>
      </c>
      <c r="I25" s="267">
        <f t="shared" si="2"/>
        <v>20.146794707456817</v>
      </c>
      <c r="K25" s="264">
        <v>2.2633792262812982</v>
      </c>
      <c r="L25" s="95">
        <v>11264.019404671715</v>
      </c>
      <c r="M25" s="95">
        <v>0</v>
      </c>
      <c r="N25" s="95">
        <v>149.45100000000002</v>
      </c>
      <c r="O25" s="95">
        <v>63166.099695683144</v>
      </c>
      <c r="P25" s="95">
        <v>4458.4004793397071</v>
      </c>
      <c r="Q25" s="267">
        <f t="shared" si="3"/>
        <v>27.907872866476822</v>
      </c>
      <c r="S25" s="264">
        <f t="shared" si="0"/>
        <v>6.3299950528502853</v>
      </c>
      <c r="T25" s="95">
        <f t="shared" si="1"/>
        <v>26494.142249665572</v>
      </c>
      <c r="U25" s="95">
        <f t="shared" si="1"/>
        <v>0</v>
      </c>
      <c r="V25" s="95">
        <f t="shared" si="1"/>
        <v>149.45100000000002</v>
      </c>
      <c r="W25" s="95">
        <f t="shared" si="1"/>
        <v>145095.37390766334</v>
      </c>
      <c r="X25" s="95">
        <f t="shared" si="1"/>
        <v>18418.617398579074</v>
      </c>
      <c r="Y25" s="267">
        <f t="shared" si="4"/>
        <v>22.92187793137839</v>
      </c>
    </row>
    <row r="26" spans="1:25">
      <c r="A26" s="94">
        <v>2040</v>
      </c>
      <c r="C26" s="264">
        <v>3.6030822099273805</v>
      </c>
      <c r="D26" s="95">
        <v>13431.675375257386</v>
      </c>
      <c r="E26" s="95">
        <v>0</v>
      </c>
      <c r="F26" s="95">
        <v>419.61699999999996</v>
      </c>
      <c r="G26" s="95">
        <v>79103.143762670239</v>
      </c>
      <c r="H26" s="95">
        <v>12469.398319427575</v>
      </c>
      <c r="I26" s="267">
        <f t="shared" si="2"/>
        <v>21.954298890189506</v>
      </c>
      <c r="K26" s="264">
        <v>2.0004620762433696</v>
      </c>
      <c r="L26" s="95">
        <v>9956.7976644334321</v>
      </c>
      <c r="M26" s="95">
        <v>0</v>
      </c>
      <c r="N26" s="95">
        <v>132.10400000000001</v>
      </c>
      <c r="O26" s="95">
        <v>61567.416467163697</v>
      </c>
      <c r="P26" s="95">
        <v>3942.8351647528866</v>
      </c>
      <c r="Q26" s="267">
        <f t="shared" si="3"/>
        <v>30.776597666265186</v>
      </c>
      <c r="S26" s="264">
        <f t="shared" si="0"/>
        <v>5.6035442861707505</v>
      </c>
      <c r="T26" s="95">
        <f t="shared" si="1"/>
        <v>23388.47303969082</v>
      </c>
      <c r="U26" s="95">
        <f t="shared" si="1"/>
        <v>0</v>
      </c>
      <c r="V26" s="95">
        <f t="shared" si="1"/>
        <v>551.721</v>
      </c>
      <c r="W26" s="95">
        <f t="shared" si="1"/>
        <v>140670.56022983394</v>
      </c>
      <c r="X26" s="95">
        <f t="shared" si="1"/>
        <v>16412.233484180462</v>
      </c>
      <c r="Y26" s="267">
        <f t="shared" si="4"/>
        <v>25.103854461720129</v>
      </c>
    </row>
    <row r="27" spans="1:25">
      <c r="A27" s="94">
        <v>2041</v>
      </c>
      <c r="C27" s="264">
        <v>3.2049647033349351</v>
      </c>
      <c r="D27" s="95">
        <v>11909.341056322039</v>
      </c>
      <c r="E27" s="95">
        <v>0</v>
      </c>
      <c r="F27" s="95">
        <v>419.61699999999996</v>
      </c>
      <c r="G27" s="95">
        <v>74785.448389335783</v>
      </c>
      <c r="H27" s="95">
        <v>11144.296870904443</v>
      </c>
      <c r="I27" s="267">
        <f t="shared" si="2"/>
        <v>23.334250237301386</v>
      </c>
      <c r="K27" s="264">
        <v>1.7622830797964997</v>
      </c>
      <c r="L27" s="95">
        <v>8780.0618698451362</v>
      </c>
      <c r="M27" s="95">
        <v>0</v>
      </c>
      <c r="N27" s="95">
        <v>287.62700000000001</v>
      </c>
      <c r="O27" s="95">
        <v>59691.027183184466</v>
      </c>
      <c r="P27" s="95">
        <v>3451.863547180219</v>
      </c>
      <c r="Q27" s="267">
        <f t="shared" si="3"/>
        <v>33.871418200347989</v>
      </c>
      <c r="S27" s="264">
        <f t="shared" si="0"/>
        <v>4.9672477831314348</v>
      </c>
      <c r="T27" s="95">
        <f t="shared" si="1"/>
        <v>20689.402926167175</v>
      </c>
      <c r="U27" s="95">
        <f t="shared" si="1"/>
        <v>0</v>
      </c>
      <c r="V27" s="95">
        <f t="shared" si="1"/>
        <v>707.24399999999991</v>
      </c>
      <c r="W27" s="95">
        <f t="shared" si="1"/>
        <v>134476.47557252026</v>
      </c>
      <c r="X27" s="95">
        <f t="shared" si="1"/>
        <v>14596.160418084663</v>
      </c>
      <c r="Y27" s="267">
        <f t="shared" si="4"/>
        <v>27.072632863050789</v>
      </c>
    </row>
    <row r="28" spans="1:25">
      <c r="A28" s="94">
        <v>2042</v>
      </c>
      <c r="C28" s="264">
        <v>2.8632572802187424</v>
      </c>
      <c r="D28" s="95">
        <v>10615.865456304426</v>
      </c>
      <c r="E28" s="95">
        <v>0</v>
      </c>
      <c r="F28" s="95">
        <v>419.61700000000019</v>
      </c>
      <c r="G28" s="95">
        <v>72927.285258642776</v>
      </c>
      <c r="H28" s="95">
        <v>9986.3063907496344</v>
      </c>
      <c r="I28" s="267">
        <f t="shared" si="2"/>
        <v>25.470042724582331</v>
      </c>
      <c r="K28" s="264">
        <v>1.5642438364192304</v>
      </c>
      <c r="L28" s="95">
        <v>7783.6265512660739</v>
      </c>
      <c r="M28" s="95">
        <v>0</v>
      </c>
      <c r="N28" s="95">
        <v>1540.0334999999998</v>
      </c>
      <c r="O28" s="95">
        <v>56263.287318515038</v>
      </c>
      <c r="P28" s="95">
        <v>3083.9023479424018</v>
      </c>
      <c r="Q28" s="267">
        <f t="shared" si="3"/>
        <v>35.968361203397457</v>
      </c>
      <c r="S28" s="264">
        <f t="shared" si="0"/>
        <v>4.4275011166379725</v>
      </c>
      <c r="T28" s="95">
        <f t="shared" si="1"/>
        <v>18399.492007570501</v>
      </c>
      <c r="U28" s="95">
        <f t="shared" si="1"/>
        <v>0</v>
      </c>
      <c r="V28" s="95">
        <f t="shared" si="1"/>
        <v>1959.6505</v>
      </c>
      <c r="W28" s="95">
        <f t="shared" si="1"/>
        <v>129190.57257715781</v>
      </c>
      <c r="X28" s="95">
        <f t="shared" si="1"/>
        <v>13070.208738692036</v>
      </c>
      <c r="Y28" s="267">
        <f t="shared" si="4"/>
        <v>29.179116881908051</v>
      </c>
    </row>
    <row r="29" spans="1:25">
      <c r="A29" s="94">
        <v>2043</v>
      </c>
      <c r="C29" s="264">
        <v>2.3683476335252274</v>
      </c>
      <c r="D29" s="95">
        <v>8521.4639264833058</v>
      </c>
      <c r="E29" s="95">
        <v>0</v>
      </c>
      <c r="F29" s="95">
        <v>419.61700000000019</v>
      </c>
      <c r="G29" s="95">
        <v>59307.282820609762</v>
      </c>
      <c r="H29" s="95">
        <v>8611.7166321116074</v>
      </c>
      <c r="I29" s="267">
        <f t="shared" si="2"/>
        <v>25.041629016400908</v>
      </c>
      <c r="K29" s="264">
        <v>1.3986042505879415</v>
      </c>
      <c r="L29" s="95">
        <v>6964.1246856908001</v>
      </c>
      <c r="M29" s="95">
        <v>0</v>
      </c>
      <c r="N29" s="95">
        <v>1540.0334999999998</v>
      </c>
      <c r="O29" s="95">
        <v>53061.399965259152</v>
      </c>
      <c r="P29" s="95">
        <v>2745.4778763418462</v>
      </c>
      <c r="Q29" s="267">
        <f t="shared" si="3"/>
        <v>37.938823611434998</v>
      </c>
      <c r="S29" s="264">
        <f t="shared" si="0"/>
        <v>3.7669518841131691</v>
      </c>
      <c r="T29" s="95">
        <f t="shared" si="1"/>
        <v>15485.588612174106</v>
      </c>
      <c r="U29" s="95">
        <f t="shared" si="1"/>
        <v>0</v>
      </c>
      <c r="V29" s="95">
        <f t="shared" si="1"/>
        <v>1959.6505</v>
      </c>
      <c r="W29" s="95">
        <f t="shared" si="1"/>
        <v>112368.68278586891</v>
      </c>
      <c r="X29" s="95">
        <f t="shared" si="1"/>
        <v>11357.194508453453</v>
      </c>
      <c r="Y29" s="267">
        <f t="shared" si="4"/>
        <v>29.830134879018555</v>
      </c>
    </row>
    <row r="30" spans="1:25">
      <c r="A30" s="94">
        <v>2044</v>
      </c>
      <c r="C30" s="264">
        <v>2.1091840823665415</v>
      </c>
      <c r="D30" s="95">
        <v>7548.0610640042914</v>
      </c>
      <c r="E30" s="95">
        <v>0</v>
      </c>
      <c r="F30" s="95">
        <v>7905.7209999999995</v>
      </c>
      <c r="G30" s="95">
        <v>57094.576857572407</v>
      </c>
      <c r="H30" s="95">
        <v>7760.6433646564037</v>
      </c>
      <c r="I30" s="267">
        <f t="shared" si="2"/>
        <v>27.069508695282437</v>
      </c>
      <c r="K30" s="264">
        <v>1.2135908974611427</v>
      </c>
      <c r="L30" s="95">
        <v>6023.5878072817322</v>
      </c>
      <c r="M30" s="95">
        <v>0</v>
      </c>
      <c r="N30" s="95">
        <v>8730.2224999999999</v>
      </c>
      <c r="O30" s="95">
        <v>48087.505174525388</v>
      </c>
      <c r="P30" s="95">
        <v>2431.4743081044944</v>
      </c>
      <c r="Q30" s="267">
        <f t="shared" si="3"/>
        <v>39.624147869867386</v>
      </c>
      <c r="S30" s="264">
        <f t="shared" si="0"/>
        <v>3.3227749798276842</v>
      </c>
      <c r="T30" s="95">
        <f t="shared" si="1"/>
        <v>13571.648871286023</v>
      </c>
      <c r="U30" s="95">
        <f t="shared" si="1"/>
        <v>0</v>
      </c>
      <c r="V30" s="95">
        <f t="shared" si="1"/>
        <v>16635.943500000001</v>
      </c>
      <c r="W30" s="95">
        <f t="shared" si="1"/>
        <v>105182.08203209779</v>
      </c>
      <c r="X30" s="95">
        <f t="shared" si="1"/>
        <v>10192.117672760898</v>
      </c>
      <c r="Y30" s="267">
        <f t="shared" si="4"/>
        <v>31.654891670561586</v>
      </c>
    </row>
    <row r="31" spans="1:25">
      <c r="A31" s="94">
        <v>2045</v>
      </c>
      <c r="C31" s="264">
        <v>1.859846745712382</v>
      </c>
      <c r="D31" s="95">
        <v>6588.8740113440017</v>
      </c>
      <c r="E31" s="95">
        <v>0</v>
      </c>
      <c r="F31" s="95">
        <v>7486.1039999999994</v>
      </c>
      <c r="G31" s="95">
        <v>53774.284190549522</v>
      </c>
      <c r="H31" s="95">
        <v>6967.0370926836094</v>
      </c>
      <c r="I31" s="267">
        <f t="shared" si="2"/>
        <v>28.913287782726538</v>
      </c>
      <c r="K31" s="264">
        <v>1.0523089143313653</v>
      </c>
      <c r="L31" s="95">
        <v>5197.2585535005664</v>
      </c>
      <c r="M31" s="95">
        <v>0</v>
      </c>
      <c r="N31" s="95">
        <v>8730.2224999999999</v>
      </c>
      <c r="O31" s="95">
        <v>43533.408456643752</v>
      </c>
      <c r="P31" s="95">
        <v>2170.1524239819937</v>
      </c>
      <c r="Q31" s="267">
        <f t="shared" si="3"/>
        <v>41.36941905914081</v>
      </c>
      <c r="S31" s="264">
        <f t="shared" si="0"/>
        <v>2.912155660043747</v>
      </c>
      <c r="T31" s="95">
        <f t="shared" si="1"/>
        <v>11786.132564844567</v>
      </c>
      <c r="U31" s="95">
        <f t="shared" si="1"/>
        <v>0</v>
      </c>
      <c r="V31" s="95">
        <f t="shared" si="1"/>
        <v>16216.326499999999</v>
      </c>
      <c r="W31" s="95">
        <f t="shared" si="1"/>
        <v>97307.692647193267</v>
      </c>
      <c r="X31" s="95">
        <f t="shared" si="1"/>
        <v>9137.1895166656032</v>
      </c>
      <c r="Y31" s="267">
        <f t="shared" si="4"/>
        <v>33.41431709242201</v>
      </c>
    </row>
    <row r="32" spans="1:25">
      <c r="A32" s="94">
        <v>2046</v>
      </c>
      <c r="C32" s="264">
        <v>1.554062503852609</v>
      </c>
      <c r="D32" s="95">
        <v>5413.7456472880958</v>
      </c>
      <c r="E32" s="95">
        <v>0</v>
      </c>
      <c r="F32" s="95">
        <v>7486.1039999999994</v>
      </c>
      <c r="G32" s="95">
        <v>46586.996904798529</v>
      </c>
      <c r="H32" s="95">
        <v>6086.5264904183605</v>
      </c>
      <c r="I32" s="267">
        <f t="shared" si="2"/>
        <v>29.977556751615023</v>
      </c>
      <c r="K32" s="264">
        <v>0.73800430937885797</v>
      </c>
      <c r="L32" s="95">
        <v>3650.038543699663</v>
      </c>
      <c r="M32" s="95">
        <v>0</v>
      </c>
      <c r="N32" s="95">
        <v>9209.3530234940008</v>
      </c>
      <c r="O32" s="95">
        <v>32546.932644831901</v>
      </c>
      <c r="P32" s="95">
        <v>1510.4673182066481</v>
      </c>
      <c r="Q32" s="267">
        <f t="shared" si="3"/>
        <v>44.101277229973164</v>
      </c>
      <c r="S32" s="264">
        <f t="shared" si="0"/>
        <v>2.2920668132314672</v>
      </c>
      <c r="T32" s="95">
        <f t="shared" si="1"/>
        <v>9063.7841909877588</v>
      </c>
      <c r="U32" s="95">
        <f t="shared" si="1"/>
        <v>0</v>
      </c>
      <c r="V32" s="95">
        <f t="shared" si="1"/>
        <v>16695.457023494</v>
      </c>
      <c r="W32" s="95">
        <f t="shared" si="1"/>
        <v>79133.929549630426</v>
      </c>
      <c r="X32" s="95">
        <f t="shared" si="1"/>
        <v>7596.9938086250086</v>
      </c>
      <c r="Y32" s="267">
        <f t="shared" si="4"/>
        <v>34.52514084354442</v>
      </c>
    </row>
    <row r="33" spans="1:25">
      <c r="A33" s="94">
        <v>2047</v>
      </c>
      <c r="C33" s="264">
        <v>1.0196373295928018</v>
      </c>
      <c r="D33" s="95">
        <v>3228.7530442405159</v>
      </c>
      <c r="E33" s="95">
        <v>0</v>
      </c>
      <c r="F33" s="95">
        <v>7486.1039999999994</v>
      </c>
      <c r="G33" s="95">
        <v>26100.315734699372</v>
      </c>
      <c r="H33" s="95">
        <v>5013.3624808988789</v>
      </c>
      <c r="I33" s="267">
        <f t="shared" si="2"/>
        <v>25.597646317169151</v>
      </c>
      <c r="K33" s="264">
        <v>8.0246053412005108E-2</v>
      </c>
      <c r="L33" s="95">
        <v>421.73421635828015</v>
      </c>
      <c r="M33" s="95">
        <v>0</v>
      </c>
      <c r="N33" s="95">
        <v>7849.9015234940007</v>
      </c>
      <c r="O33" s="95">
        <v>2764.9094394785538</v>
      </c>
      <c r="P33" s="95">
        <v>110.67444968445197</v>
      </c>
      <c r="Q33" s="267">
        <f t="shared" si="3"/>
        <v>34.455394650784321</v>
      </c>
      <c r="S33" s="264">
        <f t="shared" si="0"/>
        <v>1.0998833830048069</v>
      </c>
      <c r="T33" s="95">
        <f t="shared" si="1"/>
        <v>3650.4872605987962</v>
      </c>
      <c r="U33" s="95">
        <f t="shared" si="1"/>
        <v>0</v>
      </c>
      <c r="V33" s="95">
        <f t="shared" si="1"/>
        <v>15336.005523494001</v>
      </c>
      <c r="W33" s="95">
        <f t="shared" si="1"/>
        <v>28865.225174177926</v>
      </c>
      <c r="X33" s="95">
        <f t="shared" si="1"/>
        <v>5124.036930583331</v>
      </c>
      <c r="Y33" s="267">
        <f t="shared" si="4"/>
        <v>26.243896053161638</v>
      </c>
    </row>
    <row r="34" spans="1:25">
      <c r="A34" s="94">
        <v>2048</v>
      </c>
      <c r="C34" s="264">
        <v>0.92318713305810252</v>
      </c>
      <c r="D34" s="95">
        <v>2919.4060506023893</v>
      </c>
      <c r="E34" s="95">
        <v>0</v>
      </c>
      <c r="F34" s="95">
        <v>7486.1039999999994</v>
      </c>
      <c r="G34" s="95">
        <v>25248.628153129554</v>
      </c>
      <c r="H34" s="95">
        <v>4547.5552090342153</v>
      </c>
      <c r="I34" s="267">
        <f t="shared" si="2"/>
        <v>27.349415139151947</v>
      </c>
      <c r="K34" s="264">
        <v>6.2215404883362024E-2</v>
      </c>
      <c r="L34" s="95">
        <v>325.88179603984594</v>
      </c>
      <c r="M34" s="95">
        <v>0</v>
      </c>
      <c r="N34" s="95">
        <v>7849.9015234940007</v>
      </c>
      <c r="O34" s="95">
        <v>2315.752660679027</v>
      </c>
      <c r="P34" s="95">
        <v>88.233947722066603</v>
      </c>
      <c r="Q34" s="267">
        <f t="shared" si="3"/>
        <v>37.221531629030963</v>
      </c>
      <c r="S34" s="264">
        <f t="shared" si="0"/>
        <v>0.9854025379414646</v>
      </c>
      <c r="T34" s="95">
        <f t="shared" si="1"/>
        <v>3245.2878466422353</v>
      </c>
      <c r="U34" s="95">
        <f t="shared" si="1"/>
        <v>0</v>
      </c>
      <c r="V34" s="95">
        <f t="shared" si="1"/>
        <v>15336.005523494001</v>
      </c>
      <c r="W34" s="95">
        <f t="shared" si="1"/>
        <v>27564.380813808581</v>
      </c>
      <c r="X34" s="95">
        <f t="shared" si="1"/>
        <v>4635.789156756282</v>
      </c>
      <c r="Y34" s="267">
        <f t="shared" si="4"/>
        <v>27.972711407250276</v>
      </c>
    </row>
    <row r="35" spans="1:25">
      <c r="A35" s="94">
        <v>2049</v>
      </c>
      <c r="C35" s="264">
        <v>0.82750091606028331</v>
      </c>
      <c r="D35" s="95">
        <v>2609.6338388172517</v>
      </c>
      <c r="E35" s="95">
        <v>0</v>
      </c>
      <c r="F35" s="95">
        <v>0</v>
      </c>
      <c r="G35" s="95">
        <v>24055.289332009426</v>
      </c>
      <c r="H35" s="95">
        <v>4083.9283524915054</v>
      </c>
      <c r="I35" s="267">
        <f t="shared" si="2"/>
        <v>29.069803869869073</v>
      </c>
      <c r="K35" s="264">
        <v>0</v>
      </c>
      <c r="L35" s="95">
        <v>0</v>
      </c>
      <c r="M35" s="95">
        <v>0</v>
      </c>
      <c r="N35" s="95">
        <v>634.65352349399996</v>
      </c>
      <c r="O35" s="95">
        <v>1.7181675999999993E-5</v>
      </c>
      <c r="P35" s="95">
        <v>0</v>
      </c>
      <c r="Q35" s="267">
        <v>0</v>
      </c>
      <c r="S35" s="264">
        <f t="shared" si="0"/>
        <v>0.82750091606028331</v>
      </c>
      <c r="T35" s="95">
        <f t="shared" si="1"/>
        <v>2609.6338388172517</v>
      </c>
      <c r="U35" s="95">
        <f t="shared" si="1"/>
        <v>0</v>
      </c>
      <c r="V35" s="95">
        <f t="shared" si="1"/>
        <v>634.65352349399996</v>
      </c>
      <c r="W35" s="95">
        <f t="shared" si="1"/>
        <v>24055.289349191102</v>
      </c>
      <c r="X35" s="95">
        <f t="shared" si="1"/>
        <v>4083.9283524915054</v>
      </c>
      <c r="Y35" s="267">
        <f t="shared" si="4"/>
        <v>29.069803890632404</v>
      </c>
    </row>
    <row r="36" spans="1:25">
      <c r="A36" s="94">
        <v>2050</v>
      </c>
      <c r="C36" s="264">
        <v>0.74089784643403811</v>
      </c>
      <c r="D36" s="95">
        <v>2316.7980557346018</v>
      </c>
      <c r="E36" s="95">
        <v>0</v>
      </c>
      <c r="F36" s="95">
        <v>7141.0128274999997</v>
      </c>
      <c r="G36" s="95">
        <v>21035.658430672458</v>
      </c>
      <c r="H36" s="95">
        <v>3686.9428401247756</v>
      </c>
      <c r="I36" s="267">
        <f t="shared" si="2"/>
        <v>28.39211712102777</v>
      </c>
      <c r="K36" s="264">
        <v>0</v>
      </c>
      <c r="L36" s="95">
        <v>0</v>
      </c>
      <c r="M36" s="95">
        <v>0</v>
      </c>
      <c r="N36" s="95">
        <v>634.65352349399996</v>
      </c>
      <c r="O36" s="95">
        <v>1.5110403000000005E-5</v>
      </c>
      <c r="P36" s="95">
        <v>0</v>
      </c>
      <c r="Q36" s="267">
        <v>0</v>
      </c>
      <c r="S36" s="264">
        <f t="shared" si="0"/>
        <v>0.74089784643403811</v>
      </c>
      <c r="T36" s="95">
        <f t="shared" si="1"/>
        <v>2316.7980557346018</v>
      </c>
      <c r="U36" s="95">
        <f t="shared" si="1"/>
        <v>0</v>
      </c>
      <c r="V36" s="95">
        <f t="shared" si="1"/>
        <v>7775.6663509939999</v>
      </c>
      <c r="W36" s="95">
        <f t="shared" si="1"/>
        <v>21035.658445782861</v>
      </c>
      <c r="X36" s="95">
        <f t="shared" si="1"/>
        <v>3686.9428401247756</v>
      </c>
      <c r="Y36" s="267">
        <f t="shared" si="4"/>
        <v>28.392117141422489</v>
      </c>
    </row>
    <row r="37" spans="1:25">
      <c r="A37" s="94">
        <v>2051</v>
      </c>
      <c r="C37" s="264">
        <v>0.667534010118779</v>
      </c>
      <c r="D37" s="95">
        <v>2081.1720832729302</v>
      </c>
      <c r="E37" s="95">
        <v>0</v>
      </c>
      <c r="F37" s="95">
        <v>7141.0128274999997</v>
      </c>
      <c r="G37" s="95">
        <v>20053.695054038773</v>
      </c>
      <c r="H37" s="95">
        <v>3329.0419016336391</v>
      </c>
      <c r="I37" s="267">
        <f t="shared" si="2"/>
        <v>30.041458187981284</v>
      </c>
      <c r="K37" s="264">
        <v>0</v>
      </c>
      <c r="L37" s="95">
        <v>0</v>
      </c>
      <c r="M37" s="95">
        <v>0</v>
      </c>
      <c r="N37" s="95">
        <v>0</v>
      </c>
      <c r="O37" s="95">
        <v>0</v>
      </c>
      <c r="P37" s="95">
        <v>0</v>
      </c>
      <c r="Q37" s="267">
        <v>0</v>
      </c>
      <c r="S37" s="264">
        <f t="shared" si="0"/>
        <v>0.667534010118779</v>
      </c>
      <c r="T37" s="95">
        <f t="shared" si="1"/>
        <v>2081.1720832729302</v>
      </c>
      <c r="U37" s="95">
        <f t="shared" si="1"/>
        <v>0</v>
      </c>
      <c r="V37" s="95">
        <f t="shared" si="1"/>
        <v>7141.0128274999997</v>
      </c>
      <c r="W37" s="95">
        <f t="shared" si="1"/>
        <v>20053.695054038773</v>
      </c>
      <c r="X37" s="95">
        <f t="shared" si="1"/>
        <v>3329.0419016336391</v>
      </c>
      <c r="Y37" s="267">
        <f t="shared" si="4"/>
        <v>30.041458187981284</v>
      </c>
    </row>
    <row r="38" spans="1:25">
      <c r="A38" s="94">
        <v>2052</v>
      </c>
      <c r="C38" s="264">
        <v>0.40272151772735504</v>
      </c>
      <c r="D38" s="95">
        <v>1249.8600069733272</v>
      </c>
      <c r="E38" s="95">
        <v>0</v>
      </c>
      <c r="F38" s="95">
        <v>7141.0128274999997</v>
      </c>
      <c r="G38" s="95">
        <v>11647.179751468351</v>
      </c>
      <c r="H38" s="95">
        <v>2020.6205654156283</v>
      </c>
      <c r="I38" s="267">
        <f t="shared" si="2"/>
        <v>28.921175648115142</v>
      </c>
      <c r="K38" s="264">
        <v>0</v>
      </c>
      <c r="L38" s="95">
        <v>0</v>
      </c>
      <c r="M38" s="95">
        <v>0</v>
      </c>
      <c r="N38" s="95">
        <v>0</v>
      </c>
      <c r="O38" s="95">
        <v>0</v>
      </c>
      <c r="P38" s="95">
        <v>0</v>
      </c>
      <c r="Q38" s="267">
        <v>0</v>
      </c>
      <c r="S38" s="264">
        <f t="shared" si="0"/>
        <v>0.40272151772735504</v>
      </c>
      <c r="T38" s="95">
        <f t="shared" si="1"/>
        <v>1249.8600069733272</v>
      </c>
      <c r="U38" s="95">
        <f t="shared" si="1"/>
        <v>0</v>
      </c>
      <c r="V38" s="95">
        <f t="shared" si="1"/>
        <v>7141.0128274999997</v>
      </c>
      <c r="W38" s="95">
        <f t="shared" si="1"/>
        <v>11647.179751468351</v>
      </c>
      <c r="X38" s="95">
        <f t="shared" si="1"/>
        <v>2020.6205654156283</v>
      </c>
      <c r="Y38" s="267">
        <f t="shared" si="4"/>
        <v>28.921175648115142</v>
      </c>
    </row>
    <row r="39" spans="1:25">
      <c r="A39" s="94">
        <v>2053</v>
      </c>
      <c r="C39" s="264">
        <v>0</v>
      </c>
      <c r="D39" s="95">
        <v>0</v>
      </c>
      <c r="E39" s="95">
        <v>0</v>
      </c>
      <c r="F39" s="95">
        <v>7141.0128274999997</v>
      </c>
      <c r="G39" s="95">
        <v>7.1999999999999934E-5</v>
      </c>
      <c r="H39" s="95">
        <v>0</v>
      </c>
      <c r="I39" s="267">
        <v>0</v>
      </c>
      <c r="K39" s="264">
        <v>0</v>
      </c>
      <c r="L39" s="95">
        <v>0</v>
      </c>
      <c r="M39" s="95">
        <v>0</v>
      </c>
      <c r="N39" s="95">
        <v>0</v>
      </c>
      <c r="O39" s="95">
        <v>0</v>
      </c>
      <c r="P39" s="95">
        <v>0</v>
      </c>
      <c r="Q39" s="267">
        <v>0</v>
      </c>
      <c r="S39" s="264">
        <f t="shared" si="0"/>
        <v>0</v>
      </c>
      <c r="T39" s="95">
        <f t="shared" si="1"/>
        <v>0</v>
      </c>
      <c r="U39" s="95">
        <f t="shared" si="1"/>
        <v>0</v>
      </c>
      <c r="V39" s="95">
        <f t="shared" si="1"/>
        <v>7141.0128274999997</v>
      </c>
      <c r="W39" s="95">
        <f t="shared" si="1"/>
        <v>7.1999999999999934E-5</v>
      </c>
      <c r="X39" s="95">
        <f t="shared" si="1"/>
        <v>0</v>
      </c>
      <c r="Y39" s="267">
        <v>0</v>
      </c>
    </row>
    <row r="40" spans="1:25">
      <c r="A40" s="94">
        <v>2054</v>
      </c>
      <c r="C40" s="264">
        <v>0</v>
      </c>
      <c r="D40" s="95">
        <v>0</v>
      </c>
      <c r="E40" s="95">
        <v>0</v>
      </c>
      <c r="F40" s="95">
        <v>7141.0128274999997</v>
      </c>
      <c r="G40" s="95">
        <v>4.7999999999999981E-5</v>
      </c>
      <c r="H40" s="95">
        <v>0</v>
      </c>
      <c r="I40" s="267">
        <v>0</v>
      </c>
      <c r="K40" s="264">
        <v>0</v>
      </c>
      <c r="L40" s="95">
        <v>0</v>
      </c>
      <c r="M40" s="95">
        <v>0</v>
      </c>
      <c r="N40" s="95">
        <v>0</v>
      </c>
      <c r="O40" s="95">
        <v>0</v>
      </c>
      <c r="P40" s="95">
        <v>0</v>
      </c>
      <c r="Q40" s="267">
        <v>0</v>
      </c>
      <c r="S40" s="264">
        <f t="shared" si="0"/>
        <v>0</v>
      </c>
      <c r="T40" s="95">
        <f t="shared" si="1"/>
        <v>0</v>
      </c>
      <c r="U40" s="95">
        <f t="shared" si="1"/>
        <v>0</v>
      </c>
      <c r="V40" s="95">
        <f t="shared" si="1"/>
        <v>7141.0128274999997</v>
      </c>
      <c r="W40" s="95">
        <f t="shared" si="1"/>
        <v>4.7999999999999981E-5</v>
      </c>
      <c r="X40" s="95">
        <f t="shared" si="1"/>
        <v>0</v>
      </c>
      <c r="Y40" s="267">
        <v>0</v>
      </c>
    </row>
    <row r="41" spans="1:25">
      <c r="A41" s="94">
        <v>2055</v>
      </c>
      <c r="C41" s="264">
        <v>0</v>
      </c>
      <c r="D41" s="95">
        <v>0</v>
      </c>
      <c r="E41" s="95">
        <v>0</v>
      </c>
      <c r="F41" s="95">
        <v>0</v>
      </c>
      <c r="G41" s="95">
        <v>0</v>
      </c>
      <c r="H41" s="95">
        <v>0</v>
      </c>
      <c r="I41" s="267">
        <v>0</v>
      </c>
      <c r="K41" s="264">
        <v>0</v>
      </c>
      <c r="L41" s="95">
        <v>0</v>
      </c>
      <c r="M41" s="95">
        <v>0</v>
      </c>
      <c r="N41" s="95">
        <v>0</v>
      </c>
      <c r="O41" s="95">
        <v>0</v>
      </c>
      <c r="P41" s="95">
        <v>0</v>
      </c>
      <c r="Q41" s="267">
        <v>0</v>
      </c>
      <c r="S41" s="264">
        <f t="shared" si="0"/>
        <v>0</v>
      </c>
      <c r="T41" s="95">
        <f t="shared" si="1"/>
        <v>0</v>
      </c>
      <c r="U41" s="95">
        <f t="shared" si="1"/>
        <v>0</v>
      </c>
      <c r="V41" s="95">
        <f t="shared" si="1"/>
        <v>0</v>
      </c>
      <c r="W41" s="95">
        <f t="shared" si="1"/>
        <v>0</v>
      </c>
      <c r="X41" s="95">
        <f t="shared" si="1"/>
        <v>0</v>
      </c>
      <c r="Y41" s="267">
        <v>0</v>
      </c>
    </row>
    <row r="42" spans="1:25">
      <c r="A42" s="94">
        <v>2056</v>
      </c>
      <c r="C42" s="95">
        <v>0</v>
      </c>
      <c r="D42" s="95">
        <v>0</v>
      </c>
      <c r="E42" s="95">
        <v>0</v>
      </c>
      <c r="F42" s="95">
        <v>0</v>
      </c>
      <c r="G42" s="95">
        <v>0</v>
      </c>
      <c r="H42" s="95">
        <v>0</v>
      </c>
      <c r="I42" s="267">
        <v>0</v>
      </c>
      <c r="K42" s="264">
        <v>0</v>
      </c>
      <c r="L42" s="95">
        <v>0</v>
      </c>
      <c r="M42" s="95">
        <v>0</v>
      </c>
      <c r="N42" s="95">
        <v>0</v>
      </c>
      <c r="O42" s="95">
        <v>0</v>
      </c>
      <c r="P42" s="95">
        <v>0</v>
      </c>
      <c r="Q42" s="267">
        <v>0</v>
      </c>
      <c r="S42" s="264">
        <f t="shared" ref="S42:S44" si="5">K42+C42</f>
        <v>0</v>
      </c>
      <c r="T42" s="95">
        <f t="shared" ref="T42:T44" si="6">L42+D42</f>
        <v>0</v>
      </c>
      <c r="U42" s="95">
        <f t="shared" ref="U42:U44" si="7">M42+E42</f>
        <v>0</v>
      </c>
      <c r="V42" s="95">
        <f t="shared" ref="V42:V44" si="8">N42+F42</f>
        <v>0</v>
      </c>
      <c r="W42" s="95">
        <f t="shared" ref="W42:W44" si="9">O42+G42</f>
        <v>0</v>
      </c>
      <c r="X42" s="95">
        <f t="shared" ref="X42:X44" si="10">P42+H42</f>
        <v>0</v>
      </c>
      <c r="Y42" s="267">
        <v>0</v>
      </c>
    </row>
    <row r="43" spans="1:25">
      <c r="A43" s="94">
        <v>2057</v>
      </c>
      <c r="C43" s="95">
        <v>0</v>
      </c>
      <c r="D43" s="95">
        <v>0</v>
      </c>
      <c r="E43" s="95">
        <v>0</v>
      </c>
      <c r="F43" s="95">
        <v>0</v>
      </c>
      <c r="G43" s="95">
        <v>0</v>
      </c>
      <c r="H43" s="95">
        <v>0</v>
      </c>
      <c r="I43" s="267">
        <v>0</v>
      </c>
      <c r="K43" s="95">
        <v>0</v>
      </c>
      <c r="L43" s="95">
        <v>0</v>
      </c>
      <c r="M43" s="95">
        <v>0</v>
      </c>
      <c r="N43" s="95">
        <v>0</v>
      </c>
      <c r="O43" s="95">
        <v>0</v>
      </c>
      <c r="P43" s="95">
        <v>0</v>
      </c>
      <c r="Q43" s="267">
        <v>0</v>
      </c>
      <c r="S43" s="264">
        <f t="shared" si="5"/>
        <v>0</v>
      </c>
      <c r="T43" s="95">
        <f t="shared" si="6"/>
        <v>0</v>
      </c>
      <c r="U43" s="95">
        <f t="shared" si="7"/>
        <v>0</v>
      </c>
      <c r="V43" s="95">
        <f t="shared" si="8"/>
        <v>0</v>
      </c>
      <c r="W43" s="95">
        <f t="shared" si="9"/>
        <v>0</v>
      </c>
      <c r="X43" s="95">
        <f t="shared" si="10"/>
        <v>0</v>
      </c>
      <c r="Y43" s="267">
        <v>0</v>
      </c>
    </row>
    <row r="44" spans="1:25" customFormat="1" ht="14.5">
      <c r="A44" s="94">
        <v>2058</v>
      </c>
      <c r="B44" s="3"/>
      <c r="C44" s="95">
        <v>0</v>
      </c>
      <c r="D44" s="95">
        <v>0</v>
      </c>
      <c r="E44" s="95">
        <v>0</v>
      </c>
      <c r="F44" s="95">
        <v>0</v>
      </c>
      <c r="G44" s="95">
        <v>0</v>
      </c>
      <c r="H44" s="95">
        <v>0</v>
      </c>
      <c r="I44" s="267">
        <v>0</v>
      </c>
      <c r="J44" s="3"/>
      <c r="K44" s="95">
        <v>0</v>
      </c>
      <c r="L44" s="95">
        <v>0</v>
      </c>
      <c r="M44" s="95">
        <v>0</v>
      </c>
      <c r="N44" s="95">
        <v>0</v>
      </c>
      <c r="O44" s="95">
        <v>0</v>
      </c>
      <c r="P44" s="95">
        <v>0</v>
      </c>
      <c r="Q44" s="267">
        <v>0</v>
      </c>
      <c r="R44" s="3"/>
      <c r="S44" s="264">
        <f t="shared" si="5"/>
        <v>0</v>
      </c>
      <c r="T44" s="95">
        <f t="shared" si="6"/>
        <v>0</v>
      </c>
      <c r="U44" s="95">
        <f t="shared" si="7"/>
        <v>0</v>
      </c>
      <c r="V44" s="95">
        <f t="shared" si="8"/>
        <v>0</v>
      </c>
      <c r="W44" s="95">
        <f t="shared" si="9"/>
        <v>0</v>
      </c>
      <c r="X44" s="95">
        <f t="shared" si="10"/>
        <v>0</v>
      </c>
      <c r="Y44" s="267">
        <v>0</v>
      </c>
    </row>
    <row r="45" spans="1:25" customFormat="1" ht="7.5" customHeight="1" thickBot="1">
      <c r="B45" s="3"/>
      <c r="C45" s="84"/>
      <c r="D45" s="85"/>
      <c r="E45" s="85"/>
      <c r="F45" s="85"/>
      <c r="G45" s="85"/>
      <c r="H45" s="85"/>
      <c r="I45" s="85"/>
      <c r="J45" s="3"/>
      <c r="K45" s="84"/>
      <c r="L45" s="85"/>
      <c r="M45" s="85"/>
      <c r="N45" s="85"/>
      <c r="O45" s="85"/>
      <c r="P45" s="85"/>
      <c r="Q45" s="85"/>
      <c r="R45" s="3"/>
      <c r="S45" s="84"/>
      <c r="T45" s="85"/>
      <c r="U45" s="85"/>
      <c r="V45" s="85"/>
      <c r="W45" s="85"/>
      <c r="X45" s="85"/>
      <c r="Y45" s="85"/>
    </row>
    <row r="46" spans="1:25" ht="13.5" thickBot="1">
      <c r="A46" s="89" t="s">
        <v>559</v>
      </c>
      <c r="C46" s="265">
        <f t="shared" ref="C46" si="11">SUM(C12:C41)</f>
        <v>108.39145061430344</v>
      </c>
      <c r="D46" s="105">
        <f t="shared" ref="D46:I46" si="12">SUM(D12:D41)</f>
        <v>404651.62695810641</v>
      </c>
      <c r="E46" s="105">
        <f t="shared" si="12"/>
        <v>549875.70689441392</v>
      </c>
      <c r="F46" s="105">
        <f t="shared" si="12"/>
        <v>76081.964137500006</v>
      </c>
      <c r="G46" s="105">
        <f t="shared" si="12"/>
        <v>1742705.866223888</v>
      </c>
      <c r="H46" s="105">
        <f t="shared" si="12"/>
        <v>381244.84799123427</v>
      </c>
      <c r="I46" s="105">
        <f t="shared" si="12"/>
        <v>547.5289862376012</v>
      </c>
      <c r="K46" s="265">
        <f t="shared" ref="K46:Q46" si="13">SUM(K12:K41)</f>
        <v>73.785227627311087</v>
      </c>
      <c r="L46" s="105">
        <f t="shared" si="13"/>
        <v>360774.74300909351</v>
      </c>
      <c r="M46" s="105">
        <f t="shared" si="13"/>
        <v>470389.54437380016</v>
      </c>
      <c r="N46" s="105">
        <f t="shared" si="13"/>
        <v>47571.635117470003</v>
      </c>
      <c r="O46" s="105">
        <f t="shared" si="13"/>
        <v>1261789.4504801687</v>
      </c>
      <c r="P46" s="105">
        <f t="shared" si="13"/>
        <v>159873.05928363369</v>
      </c>
      <c r="Q46" s="105">
        <f t="shared" si="13"/>
        <v>556.10485171187293</v>
      </c>
      <c r="S46" s="265">
        <f t="shared" ref="S46:Y46" si="14">K46+C46</f>
        <v>182.17667824161452</v>
      </c>
      <c r="T46" s="265">
        <f t="shared" si="14"/>
        <v>765426.36996719986</v>
      </c>
      <c r="U46" s="265">
        <f t="shared" si="14"/>
        <v>1020265.2512682141</v>
      </c>
      <c r="V46" s="265">
        <f t="shared" si="14"/>
        <v>123653.59925497</v>
      </c>
      <c r="W46" s="265">
        <f t="shared" si="14"/>
        <v>3004495.3167040567</v>
      </c>
      <c r="X46" s="265">
        <f t="shared" si="14"/>
        <v>541117.90727486799</v>
      </c>
      <c r="Y46" s="265">
        <f t="shared" si="14"/>
        <v>1103.6338379494741</v>
      </c>
    </row>
    <row r="47" spans="1:25">
      <c r="S47" s="266"/>
    </row>
  </sheetData>
  <mergeCells count="21">
    <mergeCell ref="Q7:Q8"/>
    <mergeCell ref="S5:Y5"/>
    <mergeCell ref="Y7:Y8"/>
    <mergeCell ref="T7:T8"/>
    <mergeCell ref="U7:U8"/>
    <mergeCell ref="V7:V8"/>
    <mergeCell ref="S7:S8"/>
    <mergeCell ref="W7:X7"/>
    <mergeCell ref="C5:I5"/>
    <mergeCell ref="K5:P5"/>
    <mergeCell ref="F7:F8"/>
    <mergeCell ref="E7:E8"/>
    <mergeCell ref="D7:D8"/>
    <mergeCell ref="C7:C8"/>
    <mergeCell ref="K7:K8"/>
    <mergeCell ref="L7:L8"/>
    <mergeCell ref="M7:M8"/>
    <mergeCell ref="N7:N8"/>
    <mergeCell ref="G7:H7"/>
    <mergeCell ref="O7:P7"/>
    <mergeCell ref="I7:I8"/>
  </mergeCells>
  <pageMargins left="0.511811024" right="0.511811024" top="0.78740157499999996" bottom="0.78740157499999996" header="0.31496062000000002" footer="0.31496062000000002"/>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13A309-2556-48B0-9FE5-36090522A673}">
  <dimension ref="A2:X45"/>
  <sheetViews>
    <sheetView showGridLines="0" topLeftCell="A32" zoomScale="115" zoomScaleNormal="115" workbookViewId="0">
      <selection activeCell="B30" sqref="B30"/>
    </sheetView>
  </sheetViews>
  <sheetFormatPr defaultColWidth="9.1796875" defaultRowHeight="13"/>
  <cols>
    <col min="1" max="1" width="10.1796875" style="3" bestFit="1" customWidth="1"/>
    <col min="2" max="2" width="2" style="3" customWidth="1"/>
    <col min="3" max="5" width="9.453125" style="3" customWidth="1"/>
    <col min="6" max="6" width="2" style="3" customWidth="1"/>
    <col min="7" max="9" width="9.453125" style="3" customWidth="1"/>
    <col min="10" max="10" width="2" style="3" customWidth="1"/>
    <col min="11" max="13" width="9.453125" style="3" customWidth="1"/>
    <col min="14" max="16" width="9.1796875" style="3"/>
    <col min="17" max="17" width="21.81640625" style="3" bestFit="1" customWidth="1"/>
    <col min="18" max="18" width="0.81640625" style="3" customWidth="1"/>
    <col min="19" max="19" width="12.81640625" style="3" bestFit="1" customWidth="1"/>
    <col min="20" max="20" width="1.26953125" style="3" customWidth="1"/>
    <col min="21" max="21" width="9.1796875" style="3"/>
    <col min="22" max="22" width="1.26953125" style="3" customWidth="1"/>
    <col min="23" max="23" width="14.81640625" style="3" customWidth="1"/>
    <col min="24" max="16384" width="9.1796875" style="3"/>
  </cols>
  <sheetData>
    <row r="2" spans="1:19" ht="18.5">
      <c r="E2" s="107"/>
      <c r="F2" s="107"/>
      <c r="G2" s="107"/>
      <c r="H2" s="107"/>
      <c r="I2" s="107"/>
      <c r="J2" s="107"/>
      <c r="K2" s="106"/>
    </row>
    <row r="6" spans="1:19" ht="12.75" customHeight="1">
      <c r="A6" s="97" t="s">
        <v>1037</v>
      </c>
      <c r="C6" s="425" t="s">
        <v>1036</v>
      </c>
      <c r="D6" s="425"/>
      <c r="E6" s="425"/>
      <c r="G6" s="425" t="s">
        <v>37</v>
      </c>
      <c r="H6" s="425"/>
      <c r="I6" s="425"/>
      <c r="K6" s="425" t="s">
        <v>1144</v>
      </c>
      <c r="L6" s="425"/>
      <c r="M6" s="425"/>
    </row>
    <row r="7" spans="1:19" customFormat="1" ht="3" customHeight="1">
      <c r="B7" s="3"/>
      <c r="C7" s="84"/>
      <c r="D7" s="85"/>
      <c r="E7" s="86"/>
      <c r="F7" s="3"/>
      <c r="G7" s="84"/>
      <c r="H7" s="85"/>
      <c r="I7" s="86"/>
      <c r="J7" s="3"/>
    </row>
    <row r="8" spans="1:19" ht="26">
      <c r="A8" s="97" t="s">
        <v>558</v>
      </c>
      <c r="C8" s="98" t="s">
        <v>743</v>
      </c>
      <c r="D8" s="98" t="s">
        <v>744</v>
      </c>
      <c r="E8" s="173" t="s">
        <v>746</v>
      </c>
      <c r="G8" s="98" t="s">
        <v>743</v>
      </c>
      <c r="H8" s="98" t="s">
        <v>744</v>
      </c>
      <c r="I8" s="173" t="s">
        <v>746</v>
      </c>
      <c r="K8" s="98" t="s">
        <v>743</v>
      </c>
      <c r="L8" s="98" t="s">
        <v>744</v>
      </c>
      <c r="M8" s="173" t="s">
        <v>746</v>
      </c>
    </row>
    <row r="9" spans="1:19" customFormat="1" ht="3" customHeight="1">
      <c r="B9" s="3"/>
      <c r="C9" s="84"/>
      <c r="D9" s="85"/>
      <c r="E9" s="86"/>
      <c r="F9" s="3"/>
      <c r="G9" s="84"/>
      <c r="H9" s="85"/>
      <c r="I9" s="86"/>
      <c r="J9" s="3"/>
      <c r="K9" s="84"/>
      <c r="L9" s="85"/>
      <c r="M9" s="86"/>
    </row>
    <row r="10" spans="1:19" s="103" customFormat="1" ht="14.25" customHeight="1" thickBot="1">
      <c r="A10" s="102"/>
      <c r="C10" s="104" t="s">
        <v>745</v>
      </c>
      <c r="D10" s="104" t="s">
        <v>745</v>
      </c>
      <c r="E10" s="104" t="s">
        <v>561</v>
      </c>
      <c r="G10" s="104" t="s">
        <v>745</v>
      </c>
      <c r="H10" s="104" t="s">
        <v>745</v>
      </c>
      <c r="I10" s="104" t="s">
        <v>561</v>
      </c>
      <c r="K10" s="104" t="s">
        <v>745</v>
      </c>
      <c r="L10" s="104" t="s">
        <v>745</v>
      </c>
      <c r="M10" s="104" t="s">
        <v>561</v>
      </c>
      <c r="Q10" s="269" t="s">
        <v>1147</v>
      </c>
      <c r="R10" s="3"/>
      <c r="S10" s="269" t="s">
        <v>1148</v>
      </c>
    </row>
    <row r="11" spans="1:19" s="38" customFormat="1" ht="4.5" customHeight="1">
      <c r="A11" s="99"/>
      <c r="C11" s="100"/>
      <c r="D11" s="100"/>
      <c r="E11" s="100"/>
      <c r="G11" s="101"/>
      <c r="H11" s="101"/>
      <c r="I11" s="101"/>
      <c r="K11" s="101"/>
      <c r="L11" s="101"/>
      <c r="M11" s="101"/>
    </row>
    <row r="12" spans="1:19">
      <c r="A12" s="94">
        <v>2026</v>
      </c>
      <c r="C12" s="229">
        <v>76</v>
      </c>
      <c r="D12" s="170">
        <v>1</v>
      </c>
      <c r="E12" s="169">
        <v>32663.562453784296</v>
      </c>
      <c r="G12" s="229">
        <v>151</v>
      </c>
      <c r="H12" s="170">
        <v>15</v>
      </c>
      <c r="I12" s="169">
        <v>63594.033288699524</v>
      </c>
      <c r="K12" s="229">
        <f t="shared" ref="K12:M17" si="0">C12+G12</f>
        <v>227</v>
      </c>
      <c r="L12" s="96">
        <f t="shared" si="0"/>
        <v>16</v>
      </c>
      <c r="M12" s="169">
        <f t="shared" si="0"/>
        <v>96257.595742483827</v>
      </c>
      <c r="Q12" s="3" t="s">
        <v>1116</v>
      </c>
      <c r="S12" s="268">
        <f>E24/1000</f>
        <v>400.64647134804244</v>
      </c>
    </row>
    <row r="13" spans="1:19" ht="13.5" thickBot="1">
      <c r="A13" s="94">
        <v>2027</v>
      </c>
      <c r="C13" s="229">
        <v>58</v>
      </c>
      <c r="D13" s="170">
        <v>12</v>
      </c>
      <c r="E13" s="169">
        <v>52552.630710672871</v>
      </c>
      <c r="G13" s="229">
        <v>79</v>
      </c>
      <c r="H13" s="170">
        <v>19</v>
      </c>
      <c r="I13" s="169">
        <v>41962.778413185464</v>
      </c>
      <c r="K13" s="229">
        <f t="shared" si="0"/>
        <v>137</v>
      </c>
      <c r="L13" s="96">
        <f t="shared" si="0"/>
        <v>31</v>
      </c>
      <c r="M13" s="169">
        <f t="shared" si="0"/>
        <v>94515.409123858335</v>
      </c>
      <c r="Q13" s="3" t="s">
        <v>886</v>
      </c>
      <c r="S13" s="268">
        <f>I24/1000</f>
        <v>284.85436767783114</v>
      </c>
    </row>
    <row r="14" spans="1:19" ht="13.5" thickBot="1">
      <c r="A14" s="94">
        <v>2028</v>
      </c>
      <c r="C14" s="229">
        <v>61</v>
      </c>
      <c r="D14" s="170">
        <v>25</v>
      </c>
      <c r="E14" s="169">
        <v>66310.252039032348</v>
      </c>
      <c r="G14" s="229">
        <v>60</v>
      </c>
      <c r="H14" s="170">
        <v>25</v>
      </c>
      <c r="I14" s="169">
        <v>49060.808889372849</v>
      </c>
      <c r="K14" s="229">
        <f t="shared" si="0"/>
        <v>121</v>
      </c>
      <c r="L14" s="96">
        <f t="shared" si="0"/>
        <v>50</v>
      </c>
      <c r="M14" s="169">
        <f t="shared" si="0"/>
        <v>115371.0609284052</v>
      </c>
      <c r="Q14" s="270" t="s">
        <v>1149</v>
      </c>
      <c r="S14" s="270">
        <f>SUM(S12:S13)</f>
        <v>685.50083902587357</v>
      </c>
    </row>
    <row r="15" spans="1:19">
      <c r="A15" s="94">
        <v>2029</v>
      </c>
      <c r="C15" s="229">
        <v>62</v>
      </c>
      <c r="D15" s="170">
        <v>27</v>
      </c>
      <c r="E15" s="169">
        <v>54923.371658196796</v>
      </c>
      <c r="G15" s="229">
        <v>57</v>
      </c>
      <c r="H15" s="170">
        <v>26</v>
      </c>
      <c r="I15" s="169">
        <v>52554.69706635589</v>
      </c>
      <c r="K15" s="229">
        <f t="shared" si="0"/>
        <v>119</v>
      </c>
      <c r="L15" s="96">
        <f t="shared" si="0"/>
        <v>53</v>
      </c>
      <c r="M15" s="169">
        <f t="shared" si="0"/>
        <v>107478.06872455269</v>
      </c>
    </row>
    <row r="16" spans="1:19">
      <c r="A16" s="94">
        <v>2030</v>
      </c>
      <c r="C16" s="229">
        <v>67</v>
      </c>
      <c r="D16" s="170">
        <v>19</v>
      </c>
      <c r="E16" s="169">
        <v>40453.946366929129</v>
      </c>
      <c r="G16" s="229">
        <v>53</v>
      </c>
      <c r="H16" s="170">
        <v>28</v>
      </c>
      <c r="I16" s="169">
        <v>50114.395341224437</v>
      </c>
      <c r="K16" s="229">
        <f t="shared" si="0"/>
        <v>120</v>
      </c>
      <c r="L16" s="96">
        <f t="shared" si="0"/>
        <v>47</v>
      </c>
      <c r="M16" s="169">
        <f t="shared" si="0"/>
        <v>90568.341708153574</v>
      </c>
      <c r="Q16" s="3" t="s">
        <v>1116</v>
      </c>
      <c r="S16" s="268">
        <f>E45/1000</f>
        <v>549.87570689441395</v>
      </c>
    </row>
    <row r="17" spans="1:24" ht="13.5" thickBot="1">
      <c r="A17" s="94">
        <v>2031</v>
      </c>
      <c r="C17" s="229">
        <v>103</v>
      </c>
      <c r="D17" s="170">
        <v>16</v>
      </c>
      <c r="E17" s="169">
        <v>43896.214803784984</v>
      </c>
      <c r="G17" s="229">
        <v>22</v>
      </c>
      <c r="H17" s="170">
        <v>8</v>
      </c>
      <c r="I17" s="169">
        <v>14706.003297055508</v>
      </c>
      <c r="K17" s="229">
        <f t="shared" si="0"/>
        <v>125</v>
      </c>
      <c r="L17" s="96">
        <f t="shared" si="0"/>
        <v>24</v>
      </c>
      <c r="M17" s="169">
        <f t="shared" si="0"/>
        <v>58602.218100840488</v>
      </c>
      <c r="Q17" s="3" t="s">
        <v>886</v>
      </c>
      <c r="S17" s="268">
        <f>I45/1000</f>
        <v>470.38954437380016</v>
      </c>
    </row>
    <row r="18" spans="1:24" ht="13.5" thickBot="1">
      <c r="A18" s="94">
        <v>2032</v>
      </c>
      <c r="C18" s="229">
        <v>150</v>
      </c>
      <c r="D18" s="170">
        <v>21</v>
      </c>
      <c r="E18" s="169">
        <v>63382.654681655724</v>
      </c>
      <c r="G18" s="229">
        <v>3</v>
      </c>
      <c r="H18" s="170">
        <v>5</v>
      </c>
      <c r="I18" s="169">
        <v>5848.6714682767861</v>
      </c>
      <c r="K18" s="229">
        <f>C18+G20</f>
        <v>150</v>
      </c>
      <c r="L18" s="96">
        <f t="shared" ref="L18:L19" si="1">D18+H18</f>
        <v>26</v>
      </c>
      <c r="M18" s="169">
        <f t="shared" ref="M18:M19" si="2">E18+I18</f>
        <v>69231.326149932516</v>
      </c>
      <c r="Q18" s="270" t="s">
        <v>1150</v>
      </c>
      <c r="S18" s="270">
        <f>SUM(S16:S17)</f>
        <v>1020.2652512682141</v>
      </c>
    </row>
    <row r="19" spans="1:24">
      <c r="A19" s="94">
        <v>2033</v>
      </c>
      <c r="C19" s="229">
        <v>29</v>
      </c>
      <c r="D19" s="170">
        <v>8</v>
      </c>
      <c r="E19" s="169">
        <v>18244.539872037833</v>
      </c>
      <c r="G19" s="229">
        <v>0</v>
      </c>
      <c r="H19" s="170">
        <v>6</v>
      </c>
      <c r="I19" s="169">
        <v>7012.9799136607098</v>
      </c>
      <c r="K19" s="229">
        <f>C19+G23</f>
        <v>29</v>
      </c>
      <c r="L19" s="96">
        <f t="shared" si="1"/>
        <v>14</v>
      </c>
      <c r="M19" s="169">
        <f t="shared" si="2"/>
        <v>25257.519785698543</v>
      </c>
    </row>
    <row r="20" spans="1:24">
      <c r="A20" s="94">
        <v>2034</v>
      </c>
      <c r="C20" s="229">
        <v>0</v>
      </c>
      <c r="D20" s="170">
        <v>8</v>
      </c>
      <c r="E20" s="169">
        <v>12695.267445997111</v>
      </c>
      <c r="G20" s="229">
        <v>0</v>
      </c>
      <c r="H20" s="170">
        <v>0</v>
      </c>
      <c r="I20" s="169">
        <v>0</v>
      </c>
      <c r="K20" s="229">
        <f t="shared" ref="K20:K22" si="3">C20+G24</f>
        <v>425</v>
      </c>
      <c r="L20" s="96">
        <f t="shared" ref="L20:L22" si="4">D20+H20</f>
        <v>8</v>
      </c>
      <c r="M20" s="169">
        <f t="shared" ref="M20:M22" si="5">E20+I20</f>
        <v>12695.267445997111</v>
      </c>
    </row>
    <row r="21" spans="1:24">
      <c r="A21" s="94">
        <v>2035</v>
      </c>
      <c r="C21" s="229">
        <v>0</v>
      </c>
      <c r="D21" s="170">
        <v>5</v>
      </c>
      <c r="E21" s="169">
        <v>10125.17149452275</v>
      </c>
      <c r="G21" s="229">
        <v>0</v>
      </c>
      <c r="H21" s="170">
        <v>0</v>
      </c>
      <c r="I21" s="169">
        <v>0</v>
      </c>
      <c r="K21" s="229">
        <f t="shared" si="3"/>
        <v>0</v>
      </c>
      <c r="L21" s="96">
        <f t="shared" si="4"/>
        <v>5</v>
      </c>
      <c r="M21" s="169">
        <f t="shared" si="5"/>
        <v>10125.17149452275</v>
      </c>
    </row>
    <row r="22" spans="1:24">
      <c r="A22" s="94">
        <v>2036</v>
      </c>
      <c r="C22" s="229">
        <v>0</v>
      </c>
      <c r="D22" s="170">
        <v>4</v>
      </c>
      <c r="E22" s="169">
        <v>5398.8598214285594</v>
      </c>
      <c r="G22" s="229">
        <v>0</v>
      </c>
      <c r="H22" s="170">
        <v>0</v>
      </c>
      <c r="I22" s="169">
        <v>0</v>
      </c>
      <c r="K22" s="229">
        <f t="shared" si="3"/>
        <v>0</v>
      </c>
      <c r="L22" s="96">
        <f t="shared" si="4"/>
        <v>4</v>
      </c>
      <c r="M22" s="169">
        <f t="shared" si="5"/>
        <v>5398.8598214285594</v>
      </c>
    </row>
    <row r="23" spans="1:24" customFormat="1" ht="7.5" customHeight="1" thickBot="1">
      <c r="B23" s="3"/>
      <c r="C23" s="84"/>
      <c r="D23" s="85"/>
      <c r="E23" s="86"/>
      <c r="F23" s="3"/>
      <c r="G23" s="84"/>
      <c r="H23" s="85"/>
      <c r="I23" s="230"/>
      <c r="J23" s="3"/>
      <c r="K23" s="84"/>
      <c r="L23" s="85"/>
      <c r="M23" s="231"/>
    </row>
    <row r="24" spans="1:24" ht="13.5" thickBot="1">
      <c r="A24" s="89" t="s">
        <v>559</v>
      </c>
      <c r="C24" s="171">
        <f>SUM(C11:C22)</f>
        <v>606</v>
      </c>
      <c r="D24" s="171">
        <f>SUM(D11:D22)</f>
        <v>146</v>
      </c>
      <c r="E24" s="171">
        <f>SUM(E11:E22)</f>
        <v>400646.47134804243</v>
      </c>
      <c r="G24" s="171">
        <f>SUM(G11:G22)</f>
        <v>425</v>
      </c>
      <c r="H24" s="171">
        <f>SUM(H11:H22)</f>
        <v>132</v>
      </c>
      <c r="I24" s="171">
        <f>SUM(I11:I22)</f>
        <v>284854.36767783115</v>
      </c>
      <c r="K24" s="171">
        <f>SUM(K11:K22)</f>
        <v>1453</v>
      </c>
      <c r="L24" s="171">
        <f>SUM(L11:L22)</f>
        <v>278</v>
      </c>
      <c r="M24" s="171">
        <f>SUM(M11:M22)</f>
        <v>685500.83902587357</v>
      </c>
    </row>
    <row r="27" spans="1:24">
      <c r="A27" s="97" t="s">
        <v>1038</v>
      </c>
      <c r="C27" s="425" t="s">
        <v>1036</v>
      </c>
      <c r="D27" s="425"/>
      <c r="E27" s="425"/>
      <c r="G27" s="425" t="s">
        <v>37</v>
      </c>
      <c r="H27" s="425"/>
      <c r="I27" s="425"/>
      <c r="K27" s="425" t="s">
        <v>1145</v>
      </c>
      <c r="L27" s="425"/>
      <c r="M27" s="425"/>
    </row>
    <row r="28" spans="1:24" ht="3.75" customHeight="1">
      <c r="A28"/>
      <c r="C28" s="84"/>
      <c r="D28" s="85"/>
      <c r="E28" s="86"/>
      <c r="G28" s="84"/>
      <c r="H28" s="85"/>
      <c r="I28" s="86"/>
      <c r="K28"/>
      <c r="L28"/>
      <c r="M28"/>
    </row>
    <row r="29" spans="1:24" ht="24.5" customHeight="1">
      <c r="A29" s="97" t="s">
        <v>558</v>
      </c>
      <c r="C29" s="98" t="s">
        <v>743</v>
      </c>
      <c r="D29" s="98" t="s">
        <v>744</v>
      </c>
      <c r="E29" s="173" t="s">
        <v>746</v>
      </c>
      <c r="G29" s="98" t="s">
        <v>743</v>
      </c>
      <c r="H29" s="98" t="s">
        <v>744</v>
      </c>
      <c r="I29" s="173" t="s">
        <v>746</v>
      </c>
      <c r="K29" s="98" t="s">
        <v>743</v>
      </c>
      <c r="L29" s="98" t="s">
        <v>744</v>
      </c>
      <c r="M29" s="173" t="s">
        <v>746</v>
      </c>
    </row>
    <row r="30" spans="1:24" customFormat="1" ht="3" customHeight="1">
      <c r="B30" s="3"/>
      <c r="C30" s="84"/>
      <c r="D30" s="85"/>
      <c r="E30" s="86"/>
      <c r="F30" s="3"/>
      <c r="G30" s="84"/>
      <c r="H30" s="85"/>
      <c r="I30" s="86"/>
      <c r="J30" s="3"/>
      <c r="K30" s="84"/>
      <c r="L30" s="85"/>
      <c r="M30" s="86"/>
      <c r="O30" s="3"/>
      <c r="P30" s="3"/>
      <c r="Q30" s="3"/>
      <c r="R30" s="3"/>
      <c r="S30" s="3"/>
      <c r="T30" s="3"/>
      <c r="U30" s="3"/>
      <c r="V30" s="3"/>
      <c r="W30" s="3"/>
      <c r="X30" s="3"/>
    </row>
    <row r="31" spans="1:24" s="103" customFormat="1">
      <c r="A31" s="102"/>
      <c r="C31" s="104" t="s">
        <v>745</v>
      </c>
      <c r="D31" s="104" t="s">
        <v>745</v>
      </c>
      <c r="E31" s="104" t="s">
        <v>561</v>
      </c>
      <c r="G31" s="104" t="s">
        <v>745</v>
      </c>
      <c r="H31" s="104" t="s">
        <v>745</v>
      </c>
      <c r="I31" s="104" t="s">
        <v>561</v>
      </c>
      <c r="K31" s="104" t="s">
        <v>745</v>
      </c>
      <c r="L31" s="104" t="s">
        <v>745</v>
      </c>
      <c r="M31" s="104" t="s">
        <v>561</v>
      </c>
      <c r="O31" s="3"/>
      <c r="P31" s="3"/>
      <c r="Q31" s="3"/>
      <c r="R31" s="3"/>
      <c r="S31" s="3"/>
      <c r="T31" s="3"/>
      <c r="U31" s="3"/>
      <c r="V31" s="3"/>
      <c r="W31" s="3"/>
      <c r="X31" s="3"/>
    </row>
    <row r="32" spans="1:24" s="38" customFormat="1">
      <c r="A32" s="99"/>
      <c r="C32" s="100"/>
      <c r="D32" s="100"/>
      <c r="E32" s="100"/>
      <c r="G32" s="101"/>
      <c r="H32" s="101"/>
      <c r="I32" s="101"/>
      <c r="K32" s="101"/>
      <c r="L32" s="101"/>
      <c r="M32" s="101"/>
      <c r="O32" s="3"/>
      <c r="P32" s="3"/>
      <c r="Q32" s="3"/>
      <c r="R32" s="3"/>
      <c r="S32" s="3"/>
      <c r="T32" s="3"/>
      <c r="U32" s="3"/>
      <c r="V32" s="3"/>
      <c r="W32" s="3"/>
      <c r="X32" s="3"/>
    </row>
    <row r="33" spans="1:13">
      <c r="A33" s="94">
        <v>2026</v>
      </c>
      <c r="C33" s="229">
        <v>76</v>
      </c>
      <c r="D33" s="170">
        <v>1</v>
      </c>
      <c r="E33" s="169">
        <v>34862.992739498586</v>
      </c>
      <c r="G33" s="229">
        <v>208</v>
      </c>
      <c r="H33" s="170">
        <v>18</v>
      </c>
      <c r="I33" s="169">
        <v>78636.303921254948</v>
      </c>
      <c r="K33" s="229">
        <f t="shared" ref="K33:M41" si="6">C33+G33</f>
        <v>284</v>
      </c>
      <c r="L33" s="96">
        <f t="shared" si="6"/>
        <v>19</v>
      </c>
      <c r="M33" s="169">
        <f t="shared" si="6"/>
        <v>113499.29666075353</v>
      </c>
    </row>
    <row r="34" spans="1:13">
      <c r="A34" s="94">
        <v>2027</v>
      </c>
      <c r="C34" s="229">
        <v>62</v>
      </c>
      <c r="D34" s="170">
        <v>15</v>
      </c>
      <c r="E34" s="169">
        <v>61736.946870737782</v>
      </c>
      <c r="G34" s="229">
        <v>145</v>
      </c>
      <c r="H34" s="170">
        <v>35</v>
      </c>
      <c r="I34" s="169">
        <v>68110.710666228028</v>
      </c>
      <c r="K34" s="229">
        <f t="shared" si="6"/>
        <v>207</v>
      </c>
      <c r="L34" s="96">
        <f t="shared" si="6"/>
        <v>50</v>
      </c>
      <c r="M34" s="169">
        <f t="shared" si="6"/>
        <v>129847.65753696581</v>
      </c>
    </row>
    <row r="35" spans="1:13">
      <c r="A35" s="94">
        <v>2028</v>
      </c>
      <c r="C35" s="229">
        <v>68</v>
      </c>
      <c r="D35" s="170">
        <v>31</v>
      </c>
      <c r="E35" s="169">
        <v>78664.378065818062</v>
      </c>
      <c r="G35" s="229">
        <v>121</v>
      </c>
      <c r="H35" s="170">
        <v>32</v>
      </c>
      <c r="I35" s="169">
        <v>66875.762000726536</v>
      </c>
      <c r="K35" s="229">
        <f t="shared" si="6"/>
        <v>189</v>
      </c>
      <c r="L35" s="96">
        <f t="shared" si="6"/>
        <v>63</v>
      </c>
      <c r="M35" s="169">
        <f t="shared" si="6"/>
        <v>145540.14006654458</v>
      </c>
    </row>
    <row r="36" spans="1:13">
      <c r="A36" s="94">
        <v>2029</v>
      </c>
      <c r="C36" s="229">
        <v>71</v>
      </c>
      <c r="D36" s="170">
        <v>32</v>
      </c>
      <c r="E36" s="169">
        <v>67270.224104625377</v>
      </c>
      <c r="G36" s="229">
        <v>106</v>
      </c>
      <c r="H36" s="170">
        <v>31</v>
      </c>
      <c r="I36" s="169">
        <v>66394.645441800618</v>
      </c>
      <c r="K36" s="229">
        <f t="shared" si="6"/>
        <v>177</v>
      </c>
      <c r="L36" s="96">
        <f t="shared" si="6"/>
        <v>63</v>
      </c>
      <c r="M36" s="169">
        <f t="shared" si="6"/>
        <v>133664.86954642599</v>
      </c>
    </row>
    <row r="37" spans="1:13">
      <c r="A37" s="94">
        <v>2030</v>
      </c>
      <c r="C37" s="229">
        <v>69</v>
      </c>
      <c r="D37" s="170">
        <v>33</v>
      </c>
      <c r="E37" s="169">
        <v>67109.368708160386</v>
      </c>
      <c r="G37" s="229">
        <v>94</v>
      </c>
      <c r="H37" s="170">
        <v>29</v>
      </c>
      <c r="I37" s="169">
        <v>60732.960365045859</v>
      </c>
      <c r="K37" s="229">
        <f t="shared" si="6"/>
        <v>163</v>
      </c>
      <c r="L37" s="96">
        <f t="shared" si="6"/>
        <v>62</v>
      </c>
      <c r="M37" s="169">
        <f t="shared" si="6"/>
        <v>127842.32907320625</v>
      </c>
    </row>
    <row r="38" spans="1:13">
      <c r="A38" s="94">
        <v>2031</v>
      </c>
      <c r="C38" s="229">
        <v>109</v>
      </c>
      <c r="D38" s="170">
        <v>31</v>
      </c>
      <c r="E38" s="169">
        <v>72438.949699140561</v>
      </c>
      <c r="G38" s="229">
        <v>85</v>
      </c>
      <c r="H38" s="170">
        <v>23</v>
      </c>
      <c r="I38" s="169">
        <v>39558.765519806424</v>
      </c>
      <c r="K38" s="229">
        <f t="shared" si="6"/>
        <v>194</v>
      </c>
      <c r="L38" s="96">
        <f t="shared" si="6"/>
        <v>54</v>
      </c>
      <c r="M38" s="169">
        <f t="shared" si="6"/>
        <v>111997.71521894698</v>
      </c>
    </row>
    <row r="39" spans="1:13">
      <c r="A39" s="94">
        <v>2032</v>
      </c>
      <c r="C39" s="229">
        <v>163</v>
      </c>
      <c r="D39" s="170">
        <v>26</v>
      </c>
      <c r="E39" s="169">
        <v>75785.211266838553</v>
      </c>
      <c r="G39" s="229">
        <v>11</v>
      </c>
      <c r="H39" s="170">
        <v>25</v>
      </c>
      <c r="I39" s="169">
        <v>23374.042762235811</v>
      </c>
      <c r="K39" s="229">
        <f t="shared" si="6"/>
        <v>174</v>
      </c>
      <c r="L39" s="96">
        <f t="shared" si="6"/>
        <v>51</v>
      </c>
      <c r="M39" s="169">
        <f t="shared" si="6"/>
        <v>99159.254029074364</v>
      </c>
    </row>
    <row r="40" spans="1:13">
      <c r="A40" s="94">
        <v>2033</v>
      </c>
      <c r="C40" s="229">
        <v>29</v>
      </c>
      <c r="D40" s="170">
        <v>18</v>
      </c>
      <c r="E40" s="169">
        <v>35398.150782305689</v>
      </c>
      <c r="G40" s="229">
        <v>3</v>
      </c>
      <c r="H40" s="170">
        <v>36</v>
      </c>
      <c r="I40" s="169">
        <v>39147.973471700614</v>
      </c>
      <c r="K40" s="229">
        <f t="shared" si="6"/>
        <v>32</v>
      </c>
      <c r="L40" s="96">
        <f t="shared" si="6"/>
        <v>54</v>
      </c>
      <c r="M40" s="169">
        <f t="shared" si="6"/>
        <v>74546.12425400631</v>
      </c>
    </row>
    <row r="41" spans="1:13">
      <c r="A41" s="94">
        <v>2034</v>
      </c>
      <c r="C41" s="229">
        <v>0</v>
      </c>
      <c r="D41" s="170">
        <v>12</v>
      </c>
      <c r="E41" s="169">
        <v>19167.956105848472</v>
      </c>
      <c r="G41" s="229">
        <v>0</v>
      </c>
      <c r="H41" s="170">
        <v>5</v>
      </c>
      <c r="I41" s="169">
        <v>7404.1450143948114</v>
      </c>
      <c r="K41" s="229">
        <f t="shared" si="6"/>
        <v>0</v>
      </c>
      <c r="L41" s="96">
        <f t="shared" si="6"/>
        <v>17</v>
      </c>
      <c r="M41" s="169">
        <f t="shared" si="6"/>
        <v>26572.101120243286</v>
      </c>
    </row>
    <row r="42" spans="1:13">
      <c r="A42" s="94">
        <v>2035</v>
      </c>
      <c r="C42" s="229">
        <v>0</v>
      </c>
      <c r="D42" s="170">
        <v>10</v>
      </c>
      <c r="E42" s="169">
        <v>17517.326315951326</v>
      </c>
      <c r="G42" s="229">
        <v>0</v>
      </c>
      <c r="H42" s="170">
        <v>8</v>
      </c>
      <c r="I42" s="169">
        <v>12678.138738290172</v>
      </c>
      <c r="K42" s="229">
        <f t="shared" ref="K42:K43" si="7">C42+G42</f>
        <v>0</v>
      </c>
      <c r="L42" s="96">
        <f t="shared" ref="L42:L43" si="8">D42+H42</f>
        <v>18</v>
      </c>
      <c r="M42" s="169">
        <f t="shared" ref="M42:M43" si="9">E42+I42</f>
        <v>30195.465054241497</v>
      </c>
    </row>
    <row r="43" spans="1:13">
      <c r="A43" s="94">
        <v>2036</v>
      </c>
      <c r="C43" s="229">
        <v>0</v>
      </c>
      <c r="D43" s="170">
        <v>11</v>
      </c>
      <c r="E43" s="169">
        <v>19924.202235489112</v>
      </c>
      <c r="G43" s="229">
        <v>0</v>
      </c>
      <c r="H43" s="170">
        <v>4</v>
      </c>
      <c r="I43" s="169">
        <v>7476.0964723163279</v>
      </c>
      <c r="K43" s="229">
        <f t="shared" si="7"/>
        <v>0</v>
      </c>
      <c r="L43" s="96">
        <f t="shared" si="8"/>
        <v>15</v>
      </c>
      <c r="M43" s="169">
        <f t="shared" si="9"/>
        <v>27400.298707805439</v>
      </c>
    </row>
    <row r="44" spans="1:13" customFormat="1" ht="15" thickBot="1">
      <c r="B44" s="3"/>
      <c r="C44" s="84"/>
      <c r="D44" s="85"/>
      <c r="E44" s="86"/>
      <c r="F44" s="3"/>
      <c r="G44" s="84"/>
      <c r="H44" s="85"/>
      <c r="I44" s="230"/>
      <c r="J44" s="3"/>
      <c r="K44" s="84"/>
      <c r="L44" s="85"/>
      <c r="M44" s="231"/>
    </row>
    <row r="45" spans="1:13" ht="13.5" thickBot="1">
      <c r="A45" s="89" t="s">
        <v>559</v>
      </c>
      <c r="C45" s="171">
        <f>SUM(C33:C43)</f>
        <v>647</v>
      </c>
      <c r="D45" s="171">
        <f>SUM(D33:D43)</f>
        <v>220</v>
      </c>
      <c r="E45" s="171">
        <f>SUM(E33:E43)</f>
        <v>549875.70689441392</v>
      </c>
      <c r="G45" s="171">
        <f>SUM(G33:G43)</f>
        <v>773</v>
      </c>
      <c r="H45" s="171">
        <f>SUM(H33:H43)</f>
        <v>246</v>
      </c>
      <c r="I45" s="171">
        <f>SUM(I33:I43)</f>
        <v>470389.54437380016</v>
      </c>
      <c r="K45" s="171">
        <f>SUM(K33:K43)</f>
        <v>1420</v>
      </c>
      <c r="L45" s="171">
        <f>SUM(L33:L43)</f>
        <v>466</v>
      </c>
      <c r="M45" s="171">
        <f>SUM(M33:M43)</f>
        <v>1020265.251268214</v>
      </c>
    </row>
  </sheetData>
  <mergeCells count="6">
    <mergeCell ref="K27:M27"/>
    <mergeCell ref="G27:I27"/>
    <mergeCell ref="C27:E27"/>
    <mergeCell ref="C6:E6"/>
    <mergeCell ref="G6:I6"/>
    <mergeCell ref="K6:M6"/>
  </mergeCells>
  <pageMargins left="0.511811024" right="0.511811024" top="0.78740157499999996" bottom="0.78740157499999996" header="0.31496062000000002" footer="0.31496062000000002"/>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2</vt:i4>
      </vt:variant>
    </vt:vector>
  </HeadingPairs>
  <TitlesOfParts>
    <vt:vector size="20" baseType="lpstr">
      <vt:lpstr>Sumário</vt:lpstr>
      <vt:lpstr>Balanço Patrimonial</vt:lpstr>
      <vt:lpstr>DRE (resumida)</vt:lpstr>
      <vt:lpstr>DRE (detalhada)</vt:lpstr>
      <vt:lpstr>Fluxo de Caixa</vt:lpstr>
      <vt:lpstr>Imob e Intang</vt:lpstr>
      <vt:lpstr>Realização</vt:lpstr>
      <vt:lpstr>Lifting Cost</vt:lpstr>
      <vt:lpstr>Referências de Preço Petróleo</vt:lpstr>
      <vt:lpstr>Impostos</vt:lpstr>
      <vt:lpstr>QDC  Gás </vt:lpstr>
      <vt:lpstr>Tabela de Conversão</vt:lpstr>
      <vt:lpstr>Hedge</vt:lpstr>
      <vt:lpstr>Produção WI</vt:lpstr>
      <vt:lpstr>Certificação de Reservas</vt:lpstr>
      <vt:lpstr>Receita</vt:lpstr>
      <vt:lpstr>Custos</vt:lpstr>
      <vt:lpstr>Capex</vt:lpstr>
      <vt:lpstr>'Lifting Cost'!Area_de_impressao</vt:lpstr>
      <vt:lpstr>Sumário!Area_de_impressao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Virginia Ferraz Ribeiro</dc:creator>
  <cp:lastModifiedBy>Ingrid Velame Santos</cp:lastModifiedBy>
  <cp:lastPrinted>2023-08-08T12:37:17Z</cp:lastPrinted>
  <dcterms:created xsi:type="dcterms:W3CDTF">2022-01-10T14:49:26Z</dcterms:created>
  <dcterms:modified xsi:type="dcterms:W3CDTF">2026-09-15T13:09:44Z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Enabled">
    <vt:lpwstr>true</vt:lpwstr>
  </property>
  <property fmtid="{D5CDD505-2E9C-101B-9397-08002B2CF9AE}" pid="3" name="MSIP_Label_ea60d57e-af5b-4752-ac57-3e4f28ca11dc_SetDate">
    <vt:lpwstr>2022-02-02T17:58:25Z</vt:lpwstr>
  </property>
  <property fmtid="{D5CDD505-2E9C-101B-9397-08002B2CF9AE}" pid="4" name="MSIP_Label_ea60d57e-af5b-4752-ac57-3e4f28ca11dc_Method">
    <vt:lpwstr>Standard</vt:lpwstr>
  </property>
  <property fmtid="{D5CDD505-2E9C-101B-9397-08002B2CF9AE}" pid="5" name="MSIP_Label_ea60d57e-af5b-4752-ac57-3e4f28ca11dc_Name">
    <vt:lpwstr>ea60d57e-af5b-4752-ac57-3e4f28ca11dc</vt:lpwstr>
  </property>
  <property fmtid="{D5CDD505-2E9C-101B-9397-08002B2CF9AE}" pid="6" name="MSIP_Label_ea60d57e-af5b-4752-ac57-3e4f28ca11dc_SiteId">
    <vt:lpwstr>36da45f1-dd2c-4d1f-af13-5abe46b99921</vt:lpwstr>
  </property>
  <property fmtid="{D5CDD505-2E9C-101B-9397-08002B2CF9AE}" pid="7" name="MSIP_Label_ea60d57e-af5b-4752-ac57-3e4f28ca11dc_ActionId">
    <vt:lpwstr>6c18a244-d8c1-4915-b4e0-0b53796bad68</vt:lpwstr>
  </property>
  <property fmtid="{D5CDD505-2E9C-101B-9397-08002B2CF9AE}" pid="8" name="MSIP_Label_ea60d57e-af5b-4752-ac57-3e4f28ca11dc_ContentBits">
    <vt:lpwstr>0</vt:lpwstr>
  </property>
</Properties>
</file>